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taylorcountytx-my.sharepoint.com/personal/becky_freeman_taylorcounty_texas_gov/Documents/Documents/Investment reports/Investment Reports/"/>
    </mc:Choice>
  </mc:AlternateContent>
  <xr:revisionPtr revIDLastSave="2155" documentId="8_{754F3540-7F31-4CFE-BB78-09F905091EC3}" xr6:coauthVersionLast="47" xr6:coauthVersionMax="47" xr10:uidLastSave="{CE701A30-0C72-488C-88A7-1C425CA46A85}"/>
  <bookViews>
    <workbookView xWindow="-11460" yWindow="16080" windowWidth="51840" windowHeight="21240" tabRatio="272" xr2:uid="{00000000-000D-0000-FFFF-FFFF00000000}"/>
  </bookViews>
  <sheets>
    <sheet name="Cover" sheetId="4" r:id="rId1"/>
    <sheet name="Gov Code" sheetId="5" r:id="rId2"/>
    <sheet name="Recap Sheet" sheetId="1" r:id="rId3"/>
    <sheet name="Taylor County Security Holdings" sheetId="2" r:id="rId4"/>
    <sheet name="Market Comp" sheetId="3" r:id="rId5"/>
  </sheets>
  <definedNames>
    <definedName name="_xlnm.Print_Area" localSheetId="0">Cover!$A$1:$L$38</definedName>
    <definedName name="_xlnm.Print_Area" localSheetId="1">'Gov Code'!$A$1:$P$32</definedName>
    <definedName name="_xlnm.Print_Area" localSheetId="4">'Market Comp'!$A$1:$P$92</definedName>
    <definedName name="_xlnm.Print_Area" localSheetId="2">'Recap Sheet'!$A$2:$L$42</definedName>
    <definedName name="_xlnm.Print_Area" localSheetId="3">'Taylor County Security Holdings'!$A$1:$N$173</definedName>
    <definedName name="_xlnm.Print_Titles" localSheetId="4">'Market Comp'!$1:$5</definedName>
    <definedName name="_xlnm.Print_Titles" localSheetId="3">'Taylor County Security Holdings'!$2:$5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2" i="1"/>
  <c r="G10" i="1"/>
  <c r="H16" i="1"/>
  <c r="H15" i="1"/>
  <c r="I10" i="1"/>
  <c r="H10" i="1"/>
  <c r="P91" i="3"/>
  <c r="J86" i="3" l="1"/>
  <c r="F86" i="3"/>
  <c r="J67" i="3"/>
  <c r="K66" i="3"/>
  <c r="F67" i="3"/>
  <c r="J42" i="3"/>
  <c r="K34" i="3"/>
  <c r="G22" i="3"/>
  <c r="G23" i="3"/>
  <c r="G24" i="3"/>
  <c r="G33" i="3"/>
  <c r="G30" i="3"/>
  <c r="L11" i="3"/>
  <c r="K11" i="3" s="1"/>
  <c r="L10" i="3"/>
  <c r="K10" i="3" s="1"/>
  <c r="L12" i="3"/>
  <c r="H12" i="3"/>
  <c r="G12" i="3" s="1"/>
  <c r="G157" i="2"/>
  <c r="K94" i="2" l="1"/>
  <c r="K76" i="2"/>
  <c r="R173" i="2"/>
  <c r="J157" i="2"/>
  <c r="Q171" i="2"/>
  <c r="Q173" i="2" s="1"/>
  <c r="P171" i="2"/>
  <c r="K19" i="2" l="1"/>
  <c r="K17" i="2"/>
  <c r="K14" i="2"/>
  <c r="K20" i="2"/>
  <c r="K18" i="2"/>
  <c r="K15" i="2"/>
  <c r="K13" i="2"/>
  <c r="K10" i="2"/>
  <c r="H10" i="2"/>
  <c r="I10" i="2" s="1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11" i="2"/>
  <c r="K16" i="2"/>
  <c r="K12" i="2"/>
  <c r="P43" i="2"/>
  <c r="P173" i="2" s="1"/>
  <c r="B21" i="2"/>
  <c r="J10" i="1" l="1"/>
  <c r="E26" i="1"/>
  <c r="F24" i="1"/>
  <c r="F23" i="1"/>
  <c r="F22" i="1"/>
  <c r="F21" i="1"/>
  <c r="F20" i="1"/>
  <c r="F19" i="1"/>
  <c r="F18" i="1"/>
  <c r="F17" i="1"/>
  <c r="B16" i="1"/>
  <c r="F16" i="1" s="1"/>
  <c r="B15" i="1"/>
  <c r="F15" i="1" s="1"/>
  <c r="F14" i="1"/>
  <c r="F13" i="1"/>
  <c r="F12" i="1"/>
  <c r="F11" i="1"/>
  <c r="D10" i="1"/>
  <c r="D26" i="1" s="1"/>
  <c r="C10" i="1"/>
  <c r="C26" i="1" s="1"/>
  <c r="B10" i="1"/>
  <c r="B26" i="1" s="1"/>
  <c r="J52" i="3"/>
  <c r="F52" i="3"/>
  <c r="J35" i="3"/>
  <c r="F35" i="3"/>
  <c r="K33" i="3"/>
  <c r="K30" i="3"/>
  <c r="K24" i="3"/>
  <c r="K23" i="3"/>
  <c r="L15" i="3"/>
  <c r="K15" i="3" s="1"/>
  <c r="H15" i="3"/>
  <c r="H16" i="3"/>
  <c r="H14" i="3"/>
  <c r="H13" i="3"/>
  <c r="H9" i="3"/>
  <c r="H8" i="3"/>
  <c r="H7" i="3"/>
  <c r="H6" i="3"/>
  <c r="H65" i="3"/>
  <c r="H64" i="3"/>
  <c r="H63" i="3"/>
  <c r="H84" i="3"/>
  <c r="H83" i="3"/>
  <c r="H82" i="3"/>
  <c r="H81" i="3"/>
  <c r="H49" i="3"/>
  <c r="H52" i="3" s="1"/>
  <c r="H41" i="3"/>
  <c r="H42" i="3" s="1"/>
  <c r="H45" i="3"/>
  <c r="H46" i="3" s="1"/>
  <c r="H38" i="3"/>
  <c r="H39" i="3" s="1"/>
  <c r="F42" i="3"/>
  <c r="F46" i="3"/>
  <c r="F39" i="3"/>
  <c r="H88" i="3"/>
  <c r="H89" i="3" s="1"/>
  <c r="H78" i="3"/>
  <c r="H79" i="3" s="1"/>
  <c r="H60" i="3"/>
  <c r="H61" i="3" s="1"/>
  <c r="H57" i="3"/>
  <c r="H58" i="3" s="1"/>
  <c r="H75" i="3"/>
  <c r="H76" i="3" s="1"/>
  <c r="H69" i="3"/>
  <c r="H70" i="3" s="1"/>
  <c r="H54" i="3"/>
  <c r="H55" i="3" s="1"/>
  <c r="H72" i="3"/>
  <c r="H73" i="3" s="1"/>
  <c r="F89" i="3"/>
  <c r="F79" i="3"/>
  <c r="F61" i="3"/>
  <c r="F58" i="3"/>
  <c r="F76" i="3"/>
  <c r="F70" i="3"/>
  <c r="F55" i="3"/>
  <c r="F73" i="3"/>
  <c r="I161" i="2"/>
  <c r="H161" i="2"/>
  <c r="K151" i="2"/>
  <c r="I162" i="2"/>
  <c r="H162" i="2"/>
  <c r="H137" i="2"/>
  <c r="H138" i="2"/>
  <c r="O171" i="2"/>
  <c r="F137" i="2"/>
  <c r="F152" i="2" s="1"/>
  <c r="K61" i="2"/>
  <c r="F85" i="2"/>
  <c r="F79" i="2"/>
  <c r="F64" i="2"/>
  <c r="F82" i="2"/>
  <c r="F55" i="2"/>
  <c r="F49" i="2"/>
  <c r="F52" i="2"/>
  <c r="F91" i="2"/>
  <c r="F92" i="2"/>
  <c r="F93" i="2"/>
  <c r="F74" i="2"/>
  <c r="F73" i="2"/>
  <c r="F67" i="2"/>
  <c r="F89" i="2"/>
  <c r="F70" i="2"/>
  <c r="F46" i="2"/>
  <c r="H67" i="3" l="1"/>
  <c r="H86" i="3"/>
  <c r="F10" i="1"/>
  <c r="F26" i="1" s="1"/>
  <c r="H35" i="3"/>
  <c r="F154" i="2"/>
  <c r="F155" i="2"/>
  <c r="F156" i="2"/>
  <c r="F157" i="2"/>
  <c r="F138" i="2"/>
  <c r="F168" i="2"/>
  <c r="F158" i="2"/>
  <c r="F159" i="2"/>
  <c r="F162" i="2"/>
  <c r="F163" i="2"/>
  <c r="F164" i="2"/>
  <c r="F165" i="2"/>
  <c r="F166" i="2"/>
  <c r="F167" i="2"/>
  <c r="F153" i="2"/>
  <c r="F160" i="2"/>
  <c r="F161" i="2"/>
  <c r="F169" i="2"/>
  <c r="F139" i="2"/>
  <c r="F170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K42" i="2" l="1"/>
  <c r="K41" i="2"/>
  <c r="K40" i="2"/>
  <c r="K39" i="2"/>
  <c r="K38" i="2"/>
  <c r="K37" i="2"/>
  <c r="O43" i="2"/>
  <c r="O173" i="2" s="1"/>
  <c r="H9" i="2"/>
  <c r="I9" i="2" s="1"/>
  <c r="H8" i="2"/>
  <c r="I8" i="2" s="1"/>
  <c r="H7" i="2"/>
  <c r="I7" i="2" s="1"/>
  <c r="H6" i="2"/>
  <c r="I6" i="2" s="1"/>
  <c r="L88" i="3"/>
  <c r="L78" i="3"/>
  <c r="L60" i="3"/>
  <c r="L57" i="3"/>
  <c r="L75" i="3"/>
  <c r="L69" i="3"/>
  <c r="L54" i="3"/>
  <c r="L72" i="3"/>
  <c r="L65" i="3"/>
  <c r="L64" i="3"/>
  <c r="L63" i="3"/>
  <c r="L83" i="3"/>
  <c r="L82" i="3"/>
  <c r="L81" i="3"/>
  <c r="L49" i="3"/>
  <c r="L52" i="3" s="1"/>
  <c r="L41" i="3"/>
  <c r="L45" i="3"/>
  <c r="L38" i="3"/>
  <c r="L16" i="3"/>
  <c r="L14" i="3"/>
  <c r="L13" i="3"/>
  <c r="L9" i="3"/>
  <c r="L8" i="3"/>
  <c r="L7" i="3"/>
  <c r="L6" i="3"/>
  <c r="K22" i="3"/>
  <c r="G88" i="3"/>
  <c r="G60" i="3"/>
  <c r="G58" i="3"/>
  <c r="G57" i="3"/>
  <c r="G75" i="3"/>
  <c r="G69" i="3"/>
  <c r="G54" i="3"/>
  <c r="G72" i="3"/>
  <c r="G67" i="3"/>
  <c r="G65" i="3"/>
  <c r="G64" i="3"/>
  <c r="G63" i="3"/>
  <c r="G84" i="3"/>
  <c r="G83" i="3"/>
  <c r="G82" i="3"/>
  <c r="G81" i="3"/>
  <c r="G51" i="3"/>
  <c r="G50" i="3"/>
  <c r="G49" i="3"/>
  <c r="G42" i="3"/>
  <c r="G41" i="3"/>
  <c r="G46" i="3"/>
  <c r="G45" i="3"/>
  <c r="G38" i="3"/>
  <c r="H91" i="3"/>
  <c r="F91" i="3"/>
  <c r="G32" i="3"/>
  <c r="G31" i="3"/>
  <c r="G29" i="3"/>
  <c r="G28" i="3"/>
  <c r="G27" i="3"/>
  <c r="G26" i="3"/>
  <c r="G25" i="3"/>
  <c r="G21" i="3"/>
  <c r="G20" i="3"/>
  <c r="G19" i="3"/>
  <c r="G18" i="3"/>
  <c r="G17" i="3"/>
  <c r="G16" i="3"/>
  <c r="G13" i="3"/>
  <c r="G9" i="3"/>
  <c r="G8" i="3"/>
  <c r="G7" i="3"/>
  <c r="G6" i="3"/>
  <c r="J136" i="2"/>
  <c r="G136" i="2"/>
  <c r="J171" i="2"/>
  <c r="I170" i="2"/>
  <c r="I169" i="2"/>
  <c r="I168" i="2"/>
  <c r="I167" i="2"/>
  <c r="I166" i="2"/>
  <c r="I165" i="2"/>
  <c r="I164" i="2"/>
  <c r="I163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7" i="2"/>
  <c r="I146" i="2"/>
  <c r="I144" i="2"/>
  <c r="I143" i="2"/>
  <c r="I142" i="2"/>
  <c r="I141" i="2"/>
  <c r="I140" i="2"/>
  <c r="I139" i="2"/>
  <c r="I138" i="2"/>
  <c r="I137" i="2"/>
  <c r="I70" i="2"/>
  <c r="I89" i="2"/>
  <c r="I67" i="2"/>
  <c r="I85" i="2"/>
  <c r="I79" i="2"/>
  <c r="I64" i="2"/>
  <c r="I82" i="2"/>
  <c r="I74" i="2"/>
  <c r="I73" i="2"/>
  <c r="I92" i="2"/>
  <c r="I93" i="2"/>
  <c r="I91" i="2"/>
  <c r="I55" i="2"/>
  <c r="I49" i="2"/>
  <c r="I52" i="2"/>
  <c r="H170" i="2"/>
  <c r="H169" i="2"/>
  <c r="H168" i="2"/>
  <c r="H167" i="2"/>
  <c r="H166" i="2"/>
  <c r="H165" i="2"/>
  <c r="H164" i="2"/>
  <c r="H163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7" i="2"/>
  <c r="H146" i="2"/>
  <c r="H144" i="2"/>
  <c r="H143" i="2"/>
  <c r="H142" i="2"/>
  <c r="H141" i="2"/>
  <c r="H140" i="2"/>
  <c r="H139" i="2"/>
  <c r="H70" i="2"/>
  <c r="H89" i="2"/>
  <c r="H67" i="2"/>
  <c r="H85" i="2"/>
  <c r="H79" i="2"/>
  <c r="H64" i="2"/>
  <c r="H82" i="2"/>
  <c r="H74" i="2"/>
  <c r="H73" i="2"/>
  <c r="H93" i="2"/>
  <c r="H92" i="2"/>
  <c r="H91" i="2"/>
  <c r="H55" i="2"/>
  <c r="H49" i="2"/>
  <c r="H52" i="2"/>
  <c r="I46" i="2"/>
  <c r="H46" i="2"/>
  <c r="D138" i="2"/>
  <c r="D137" i="2"/>
  <c r="D70" i="2"/>
  <c r="D89" i="2"/>
  <c r="D67" i="2"/>
  <c r="D85" i="2"/>
  <c r="D79" i="2"/>
  <c r="D64" i="2"/>
  <c r="D82" i="2"/>
  <c r="D73" i="2"/>
  <c r="D91" i="2"/>
  <c r="D55" i="2"/>
  <c r="D49" i="2"/>
  <c r="D52" i="2"/>
  <c r="D46" i="2"/>
  <c r="L86" i="3" l="1"/>
  <c r="L67" i="3"/>
  <c r="I43" i="2"/>
  <c r="L35" i="3"/>
  <c r="H136" i="2"/>
  <c r="I136" i="2"/>
  <c r="I171" i="2"/>
  <c r="G73" i="3"/>
  <c r="G39" i="3"/>
  <c r="G76" i="3"/>
  <c r="G61" i="3"/>
  <c r="G70" i="3"/>
  <c r="G55" i="3"/>
  <c r="G35" i="3"/>
  <c r="G86" i="3"/>
  <c r="G52" i="3"/>
  <c r="G89" i="3"/>
  <c r="K7" i="2"/>
  <c r="K8" i="2"/>
  <c r="K9" i="2"/>
  <c r="K34" i="2"/>
  <c r="I173" i="2" l="1"/>
  <c r="H43" i="2"/>
  <c r="G43" i="2"/>
  <c r="K136" i="2" l="1"/>
  <c r="L42" i="3" l="1"/>
  <c r="L46" i="3"/>
  <c r="N46" i="3" s="1"/>
  <c r="L39" i="3"/>
  <c r="N39" i="3" s="1"/>
  <c r="J39" i="3"/>
  <c r="J46" i="3"/>
  <c r="L73" i="3"/>
  <c r="J73" i="3"/>
  <c r="L89" i="3"/>
  <c r="L79" i="3"/>
  <c r="L61" i="3"/>
  <c r="L58" i="3"/>
  <c r="L76" i="3"/>
  <c r="L70" i="3"/>
  <c r="L55" i="3"/>
  <c r="J55" i="3"/>
  <c r="J70" i="3"/>
  <c r="J76" i="3"/>
  <c r="J58" i="3"/>
  <c r="J61" i="3"/>
  <c r="J79" i="3"/>
  <c r="J89" i="3"/>
  <c r="K51" i="3"/>
  <c r="K50" i="3"/>
  <c r="K32" i="3"/>
  <c r="K31" i="3"/>
  <c r="K29" i="3"/>
  <c r="K56" i="2"/>
  <c r="K57" i="2"/>
  <c r="K52" i="3" l="1"/>
  <c r="H171" i="2" l="1"/>
  <c r="H173" i="2" s="1"/>
  <c r="G171" i="2"/>
  <c r="G173" i="2" s="1"/>
  <c r="K83" i="3" l="1"/>
  <c r="L91" i="3"/>
  <c r="J91" i="3"/>
  <c r="K95" i="2" l="1"/>
  <c r="K153" i="2"/>
  <c r="K155" i="2"/>
  <c r="K156" i="2"/>
  <c r="K157" i="2"/>
  <c r="K158" i="2"/>
  <c r="K67" i="2"/>
  <c r="K89" i="2"/>
  <c r="K70" i="2"/>
  <c r="K52" i="2"/>
  <c r="K49" i="2"/>
  <c r="K55" i="2"/>
  <c r="K58" i="2"/>
  <c r="K59" i="2"/>
  <c r="K60" i="2"/>
  <c r="K91" i="2"/>
  <c r="K92" i="2"/>
  <c r="K93" i="2"/>
  <c r="K73" i="2"/>
  <c r="K74" i="2"/>
  <c r="K75" i="2"/>
  <c r="K82" i="2"/>
  <c r="K64" i="2"/>
  <c r="K46" i="2"/>
  <c r="K60" i="3" l="1"/>
  <c r="K61" i="3"/>
  <c r="N79" i="3"/>
  <c r="K88" i="3"/>
  <c r="K89" i="3"/>
  <c r="N91" i="3"/>
  <c r="K55" i="3"/>
  <c r="K28" i="3"/>
  <c r="K27" i="3"/>
  <c r="K26" i="3"/>
  <c r="K25" i="3"/>
  <c r="K46" i="3" l="1"/>
  <c r="N61" i="3"/>
  <c r="K67" i="3"/>
  <c r="N89" i="3"/>
  <c r="K42" i="3"/>
  <c r="K73" i="3"/>
  <c r="K70" i="3"/>
  <c r="K35" i="3"/>
  <c r="K76" i="3"/>
  <c r="K58" i="3"/>
  <c r="K86" i="3"/>
  <c r="K171" i="2"/>
  <c r="H26" i="1" l="1"/>
  <c r="I26" i="1"/>
  <c r="J26" i="1"/>
  <c r="K26" i="1"/>
  <c r="L15" i="1"/>
  <c r="L14" i="1"/>
  <c r="B24" i="2" l="1"/>
  <c r="K152" i="2"/>
  <c r="L16" i="1" l="1"/>
  <c r="K21" i="3"/>
  <c r="K64" i="3" l="1"/>
  <c r="K82" i="3"/>
  <c r="K138" i="2" l="1"/>
  <c r="K139" i="2"/>
  <c r="K141" i="2"/>
  <c r="K142" i="2"/>
  <c r="K159" i="2"/>
  <c r="K160" i="2"/>
  <c r="K164" i="2"/>
  <c r="K166" i="2"/>
  <c r="K167" i="2"/>
  <c r="K169" i="2"/>
  <c r="K170" i="2"/>
  <c r="K137" i="2"/>
  <c r="K85" i="2"/>
  <c r="L11" i="1" l="1"/>
  <c r="K38" i="3"/>
  <c r="K39" i="3" l="1"/>
  <c r="L12" i="1" l="1"/>
  <c r="L13" i="1"/>
  <c r="L17" i="1"/>
  <c r="L18" i="1"/>
  <c r="L19" i="1"/>
  <c r="L20" i="1"/>
  <c r="L21" i="1"/>
  <c r="L22" i="1"/>
  <c r="L23" i="1"/>
  <c r="L24" i="1"/>
  <c r="L10" i="1"/>
  <c r="K7" i="3"/>
  <c r="K8" i="3"/>
  <c r="K9" i="3"/>
  <c r="L26" i="1" l="1"/>
  <c r="G25" i="1"/>
  <c r="K45" i="3" l="1"/>
  <c r="K41" i="3"/>
  <c r="K49" i="3"/>
  <c r="K63" i="3" l="1"/>
  <c r="N52" i="3" l="1"/>
  <c r="K81" i="3" l="1"/>
  <c r="K72" i="3"/>
  <c r="K54" i="3"/>
  <c r="K69" i="3"/>
  <c r="K75" i="3"/>
  <c r="K57" i="3"/>
  <c r="K6" i="3"/>
  <c r="N35" i="3" l="1"/>
  <c r="B26" i="2"/>
  <c r="J6" i="2" s="1"/>
  <c r="K6" i="2" l="1"/>
  <c r="K43" i="2" s="1"/>
  <c r="J43" i="2"/>
  <c r="N86" i="3"/>
  <c r="N42" i="3"/>
  <c r="J173" i="2" l="1"/>
  <c r="K173" i="2" s="1"/>
  <c r="N73" i="3"/>
  <c r="N55" i="3"/>
  <c r="N76" i="3"/>
  <c r="N58" i="3"/>
  <c r="N70" i="3" l="1"/>
  <c r="N67" i="3"/>
  <c r="G26" i="1"/>
  <c r="I28" i="1"/>
  <c r="J28" i="1"/>
  <c r="K28" i="1"/>
  <c r="H28" i="1"/>
  <c r="L28" i="1" l="1"/>
</calcChain>
</file>

<file path=xl/sharedStrings.xml><?xml version="1.0" encoding="utf-8"?>
<sst xmlns="http://schemas.openxmlformats.org/spreadsheetml/2006/main" count="490" uniqueCount="256">
  <si>
    <t xml:space="preserve"> </t>
  </si>
  <si>
    <t>Certificates of</t>
  </si>
  <si>
    <t>Deposit</t>
  </si>
  <si>
    <t>Comm. Paper</t>
  </si>
  <si>
    <t>Totals</t>
  </si>
  <si>
    <t>General Fund</t>
  </si>
  <si>
    <t>Contingency Fund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</si>
  <si>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</si>
  <si>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</si>
  <si>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</si>
  <si>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</si>
  <si>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</si>
  <si>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</si>
  <si>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</si>
  <si>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</si>
  <si>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</si>
  <si>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</si>
  <si>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</si>
  <si>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</si>
  <si>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</si>
  <si>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</si>
  <si>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</si>
  <si>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</si>
  <si>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</si>
  <si>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</si>
  <si>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</si>
  <si>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</si>
  <si>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</si>
  <si>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</si>
  <si>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</si>
  <si>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</si>
  <si>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</si>
  <si>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</si>
  <si>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</si>
  <si>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</si>
  <si>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</si>
  <si>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</si>
  <si>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</si>
  <si>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</si>
  <si>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</si>
  <si>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</si>
  <si>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</si>
  <si>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</si>
  <si>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</si>
  <si>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</si>
  <si>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</si>
  <si>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</si>
  <si>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</si>
  <si>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</si>
  <si>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</si>
  <si>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</si>
  <si>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</si>
  <si>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</si>
  <si>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</si>
  <si>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</si>
  <si>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</si>
  <si>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</si>
  <si>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</si>
  <si>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</si>
  <si>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</si>
  <si>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</si>
  <si>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</si>
  <si>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</si>
  <si>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</si>
  <si>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</si>
  <si>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</si>
  <si>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</si>
  <si>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</si>
  <si>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</si>
  <si>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</si>
  <si>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</si>
  <si>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</si>
  <si>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</si>
  <si>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Date Submitted</t>
  </si>
  <si>
    <t>Fiscal Yr.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</si>
  <si>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</si>
  <si>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</si>
  <si>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</si>
  <si>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</si>
  <si>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</si>
  <si>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</si>
  <si>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</si>
  <si>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</si>
  <si>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</si>
  <si>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</si>
  <si>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</si>
  <si>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</si>
  <si>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</si>
  <si>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</si>
  <si>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</si>
  <si>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</si>
  <si>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</si>
  <si>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</si>
  <si>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</si>
  <si>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</si>
  <si>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</si>
  <si>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</si>
  <si>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</si>
  <si>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</si>
  <si>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</si>
  <si>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</si>
  <si>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</si>
  <si>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</si>
  <si>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</si>
  <si>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>TexPool Prime</t>
  </si>
  <si>
    <t xml:space="preserve">Intr. </t>
  </si>
  <si>
    <t>%</t>
  </si>
  <si>
    <t>TxPool/Prime</t>
  </si>
  <si>
    <t>Elijah Anderson, County Auditor</t>
  </si>
  <si>
    <t>Bail Bondsmen Cash Holding</t>
  </si>
  <si>
    <t>FFIN</t>
  </si>
  <si>
    <t xml:space="preserve">FFIN                         </t>
  </si>
  <si>
    <t xml:space="preserve">FFIN Intr.                                </t>
  </si>
  <si>
    <t xml:space="preserve">    1. Liquid Cash</t>
  </si>
  <si>
    <t xml:space="preserve">       1. Liquid Cash</t>
  </si>
  <si>
    <t>1st Qtr</t>
  </si>
  <si>
    <t>Sheriff-Bail Bond Vouchers</t>
  </si>
  <si>
    <t>Courthouse Restoration</t>
  </si>
  <si>
    <t>FFIN Investments</t>
  </si>
  <si>
    <t>Local Provider Particpation Fund</t>
  </si>
  <si>
    <t>Texas Daily</t>
  </si>
  <si>
    <t>Elections Hava/Cares Subsidy</t>
  </si>
  <si>
    <t>Texas Term</t>
  </si>
  <si>
    <t>Jail Inmate Ckecking</t>
  </si>
  <si>
    <t xml:space="preserve">  Juvenile Probation Comm/TDA/State</t>
  </si>
  <si>
    <t>* Denotes Fund Balance Change</t>
  </si>
  <si>
    <t>American Rescue Plan Act</t>
  </si>
  <si>
    <t>Randall D. Williams Commissioner Pct 1</t>
  </si>
  <si>
    <t>Texas Range Daily</t>
  </si>
  <si>
    <t>US Treasury Note</t>
  </si>
  <si>
    <t>Ameriprise Ally Bank CD</t>
  </si>
  <si>
    <t>91282CDM0</t>
  </si>
  <si>
    <t>02007GRH8</t>
  </si>
  <si>
    <t>Ameriprise Ally CD</t>
  </si>
  <si>
    <t>Ameriprise MMA Avg</t>
  </si>
  <si>
    <t>Pacific Western</t>
  </si>
  <si>
    <t>69506YTX7</t>
  </si>
  <si>
    <t xml:space="preserve">UBS Bank </t>
  </si>
  <si>
    <t>90348J4V9</t>
  </si>
  <si>
    <t>3134GXM68</t>
  </si>
  <si>
    <t>Ameriprise FHLM</t>
  </si>
  <si>
    <t>Ameriprise MMA</t>
  </si>
  <si>
    <t>Phil Crowley, Taylor County Judge</t>
  </si>
  <si>
    <t>Dept Deposit Co. Clerk</t>
  </si>
  <si>
    <t>Dept  Deposit Distr. Clerk</t>
  </si>
  <si>
    <t>Dept Deposit Constable</t>
  </si>
  <si>
    <t>Dept Deposit JP 1-2</t>
  </si>
  <si>
    <t>Dept Deposit  JP 1-1</t>
  </si>
  <si>
    <t>Dept Deposit SO - Civil</t>
  </si>
  <si>
    <t>Dept Deposit SO Criminal</t>
  </si>
  <si>
    <t>Dept Deposit Tax Assessor</t>
  </si>
  <si>
    <t>Jail Inmate Checking</t>
  </si>
  <si>
    <t>Jail Commissary Checking</t>
  </si>
  <si>
    <t>Interest To GF</t>
  </si>
  <si>
    <t>Interest to GF</t>
  </si>
  <si>
    <t>Wells Fargo</t>
  </si>
  <si>
    <t>949764AF1</t>
  </si>
  <si>
    <t>Discover Bank</t>
  </si>
  <si>
    <t>Pinnacle Nat'l Bank</t>
  </si>
  <si>
    <t>72345DLG4</t>
  </si>
  <si>
    <t>Georgia Banking Ctr</t>
  </si>
  <si>
    <t>37312PDE6</t>
  </si>
  <si>
    <t>Tex Range Daily</t>
  </si>
  <si>
    <t>Gerogia Bank Ctr</t>
  </si>
  <si>
    <t>Texas Range TERM</t>
  </si>
  <si>
    <t>1258-00</t>
  </si>
  <si>
    <t>Indep Bk McKinney</t>
  </si>
  <si>
    <t>45385JAP3</t>
  </si>
  <si>
    <t>Zions Bancorp Salt Lake</t>
  </si>
  <si>
    <t>98970LF40</t>
  </si>
  <si>
    <t>Preferred Bk Los Angeles</t>
  </si>
  <si>
    <t>740367RK5</t>
  </si>
  <si>
    <t>Western Alliance Phoenix</t>
  </si>
  <si>
    <t>95763PLN9</t>
  </si>
  <si>
    <t>19623RCB1</t>
  </si>
  <si>
    <t>Sandy Sprg Olney MD</t>
  </si>
  <si>
    <t>Colony BK Fitzgerald GA</t>
  </si>
  <si>
    <t>800364FB2</t>
  </si>
  <si>
    <t>Wells Fargo Sioux Falls</t>
  </si>
  <si>
    <t>US Treasury Bill</t>
  </si>
  <si>
    <t>First B&amp;T Lubbock</t>
  </si>
  <si>
    <t>319042GK7</t>
  </si>
  <si>
    <t>Goldman Sachs BK USA</t>
  </si>
  <si>
    <t>38150VHA0</t>
  </si>
  <si>
    <t>912828V23</t>
  </si>
  <si>
    <t>1258-02</t>
  </si>
  <si>
    <t>Texas Range SELECT</t>
  </si>
  <si>
    <t>Tex Range TERM</t>
  </si>
  <si>
    <t>Western Alliance</t>
  </si>
  <si>
    <t>Colony Bk</t>
  </si>
  <si>
    <t>Sandy Spring</t>
  </si>
  <si>
    <t xml:space="preserve">Bonds </t>
  </si>
  <si>
    <t>Tresury Bill/Notes</t>
  </si>
  <si>
    <t>Agency</t>
  </si>
  <si>
    <t>91282CFE6</t>
  </si>
  <si>
    <t>0257QCA3</t>
  </si>
  <si>
    <t>Sofia Bank UT</t>
  </si>
  <si>
    <t>83407DBF2</t>
  </si>
  <si>
    <t>912797GE1</t>
  </si>
  <si>
    <t>91282BD56</t>
  </si>
  <si>
    <t>Bankwell BK CT</t>
  </si>
  <si>
    <t>06654BFH9</t>
  </si>
  <si>
    <t>Dept Deposit Domestic Relations</t>
  </si>
  <si>
    <t>Amerant Bk Coral G</t>
  </si>
  <si>
    <t>Becky Freeman, Taylor County Treasurer</t>
  </si>
  <si>
    <t>912828YV6</t>
  </si>
  <si>
    <t>2nd Qtr</t>
  </si>
  <si>
    <t xml:space="preserve">3rd Qtr </t>
  </si>
  <si>
    <t xml:space="preserve">4th Qtr </t>
  </si>
  <si>
    <t>912828W48</t>
  </si>
  <si>
    <t>TOTAL OF ALL ACCOUNTS</t>
  </si>
  <si>
    <t>Morton Cmnty Bk ILL</t>
  </si>
  <si>
    <t>619165KG7</t>
  </si>
  <si>
    <t>Bank of America NA</t>
  </si>
  <si>
    <t>06051XAJ1</t>
  </si>
  <si>
    <t>919853KL4</t>
  </si>
  <si>
    <t>Valley Natl Bk Passaic NJ</t>
  </si>
  <si>
    <t>Flagstar Bk Natl Assn Hicksvl</t>
  </si>
  <si>
    <t>33847GDT6</t>
  </si>
  <si>
    <t>Morton Cmnty Bk Ill</t>
  </si>
  <si>
    <t>Valley Natl Bk Passaic</t>
  </si>
  <si>
    <t>Flagstar Bk Natl Assn</t>
  </si>
  <si>
    <t>Texas CLASS</t>
  </si>
  <si>
    <t>Tx Range Daily &amp; Select</t>
  </si>
  <si>
    <t xml:space="preserve">    2 .C.D.'s</t>
  </si>
  <si>
    <t xml:space="preserve">       2. C.D.'s</t>
  </si>
  <si>
    <t>GENERAL FUND</t>
  </si>
  <si>
    <t>01-0329</t>
  </si>
  <si>
    <t>3130B1K97</t>
  </si>
  <si>
    <t>Amerant BK Coral Gables</t>
  </si>
  <si>
    <t>Texas Range Select</t>
  </si>
  <si>
    <t>177 days</t>
  </si>
  <si>
    <t>568 days</t>
  </si>
  <si>
    <t>275 days</t>
  </si>
  <si>
    <t>551 days</t>
  </si>
  <si>
    <t>574 days</t>
  </si>
  <si>
    <t>361 days</t>
  </si>
  <si>
    <t>364 days</t>
  </si>
  <si>
    <t>98 days</t>
  </si>
  <si>
    <t>103 days</t>
  </si>
  <si>
    <t>365 days</t>
  </si>
  <si>
    <t>366 days</t>
  </si>
  <si>
    <t>732 days</t>
  </si>
  <si>
    <t>Par/Face Value</t>
  </si>
  <si>
    <t>184 days</t>
  </si>
  <si>
    <t>182 days</t>
  </si>
  <si>
    <t>240 days</t>
  </si>
  <si>
    <t>181 days</t>
  </si>
  <si>
    <t>Tot Int earned @ maturity of investment</t>
  </si>
  <si>
    <t>FFIN Oper Ck Fund</t>
  </si>
  <si>
    <t>Dept Deposit Tax Assr</t>
  </si>
  <si>
    <t>Term of investmt</t>
  </si>
  <si>
    <t>Tex Range Select</t>
  </si>
  <si>
    <t>Taylor County Security Holdings</t>
  </si>
  <si>
    <t>FHLB</t>
  </si>
  <si>
    <t>Prior Year (Jun-23) Market Value Net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</si>
</sst>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mmmm\ d&quot;, &quot;yyyy"/>
    <numFmt numFmtId="168" formatCode="[$-409]mmm\-yy;@"/>
    <numFmt numFmtId="169" formatCode="0.000"/>
    <numFmt numFmtId="170" formatCode="&quot;$&quot;#,##0.00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sz val="7.75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8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Font="1" applyFill="1" applyBorder="1" applyAlignment="1" applyProtection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0" fontId="0" fillId="3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0" fontId="9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15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7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/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39" fontId="14" fillId="2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Alignment="1">
      <alignment horizontal="right"/>
    </xf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16" fillId="2" borderId="0" xfId="0" applyFont="1" applyFill="1"/>
    <xf numFmtId="164" fontId="16" fillId="2" borderId="0" xfId="1" applyFont="1" applyFill="1" applyBorder="1" applyAlignment="1" applyProtection="1"/>
    <xf numFmtId="164" fontId="16" fillId="3" borderId="0" xfId="1" applyFont="1" applyFill="1" applyBorder="1" applyAlignment="1" applyProtection="1"/>
    <xf numFmtId="16" fontId="16" fillId="2" borderId="0" xfId="1" applyNumberFormat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7" fillId="7" borderId="0" xfId="0" applyFont="1" applyFill="1"/>
    <xf numFmtId="164" fontId="14" fillId="0" borderId="2" xfId="1" applyBorder="1"/>
    <xf numFmtId="164" fontId="0" fillId="0" borderId="2" xfId="0" applyNumberFormat="1" applyBorder="1"/>
    <xf numFmtId="169" fontId="3" fillId="0" borderId="0" xfId="6" applyNumberFormat="1" applyFont="1" applyBorder="1" applyAlignment="1"/>
    <xf numFmtId="169" fontId="3" fillId="0" borderId="0" xfId="0" applyNumberFormat="1" applyFont="1"/>
    <xf numFmtId="164" fontId="4" fillId="0" borderId="0" xfId="1" applyFont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1" xfId="0" applyFont="1" applyFill="1" applyBorder="1"/>
    <xf numFmtId="0" fontId="0" fillId="8" borderId="0" xfId="0" applyFill="1"/>
    <xf numFmtId="165" fontId="2" fillId="0" borderId="4" xfId="3" applyFont="1" applyFill="1" applyBorder="1" applyAlignment="1" applyProtection="1">
      <alignment horizontal="right"/>
    </xf>
    <xf numFmtId="165" fontId="2" fillId="5" borderId="4" xfId="3" applyFont="1" applyFill="1" applyBorder="1" applyAlignment="1" applyProtection="1">
      <alignment horizontal="center"/>
    </xf>
    <xf numFmtId="169" fontId="3" fillId="0" borderId="4" xfId="0" applyNumberFormat="1" applyFont="1" applyBorder="1"/>
    <xf numFmtId="165" fontId="2" fillId="5" borderId="4" xfId="3" applyFont="1" applyFill="1" applyBorder="1" applyAlignment="1" applyProtection="1">
      <alignment horizontal="right"/>
    </xf>
    <xf numFmtId="164" fontId="4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164" fontId="14" fillId="0" borderId="0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0" xfId="1" applyFill="1"/>
    <xf numFmtId="164" fontId="14" fillId="8" borderId="0" xfId="1" applyFill="1" applyBorder="1" applyAlignment="1" applyProtection="1"/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0" borderId="0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right"/>
    </xf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7" fillId="2" borderId="0" xfId="0" applyFont="1" applyFill="1"/>
    <xf numFmtId="0" fontId="3" fillId="8" borderId="0" xfId="0" applyFont="1" applyFill="1" applyAlignment="1">
      <alignment horizontal="center"/>
    </xf>
    <xf numFmtId="164" fontId="3" fillId="4" borderId="0" xfId="1" applyFont="1" applyFill="1" applyBorder="1" applyAlignment="1" applyProtection="1"/>
    <xf numFmtId="164" fontId="7" fillId="0" borderId="0" xfId="1" applyFont="1" applyAlignment="1">
      <alignment horizontal="left"/>
    </xf>
    <xf numFmtId="0" fontId="3" fillId="8" borderId="0" xfId="0" applyFont="1" applyFill="1"/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6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4" fillId="0" borderId="0" xfId="1" applyFont="1" applyFill="1" applyAlignment="1">
      <alignment horizontal="left"/>
    </xf>
    <xf numFmtId="164" fontId="2" fillId="0" borderId="0" xfId="1" applyFont="1" applyFill="1" applyBorder="1" applyAlignment="1" applyProtection="1">
      <alignment horizontal="right"/>
    </xf>
    <xf numFmtId="0" fontId="0" fillId="0" borderId="12" xfId="0" applyBorder="1"/>
    <xf numFmtId="164" fontId="0" fillId="0" borderId="6" xfId="1" applyFont="1" applyFill="1" applyBorder="1" applyAlignment="1" applyProtection="1">
      <alignment horizontal="center"/>
    </xf>
    <xf numFmtId="0" fontId="19" fillId="0" borderId="0" xfId="0" applyFont="1"/>
    <xf numFmtId="164" fontId="3" fillId="0" borderId="0" xfId="1" applyFont="1" applyFill="1"/>
    <xf numFmtId="0" fontId="18" fillId="0" borderId="0" xfId="0" applyFont="1"/>
    <xf numFmtId="164" fontId="20" fillId="0" borderId="0" xfId="1" applyFont="1" applyBorder="1" applyAlignment="1">
      <alignment horizontal="left"/>
    </xf>
    <xf numFmtId="0" fontId="20" fillId="8" borderId="0" xfId="0" applyFont="1" applyFill="1"/>
    <xf numFmtId="169" fontId="20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1" applyFont="1" applyFill="1" applyBorder="1" applyAlignment="1" applyProtection="1"/>
    <xf numFmtId="164" fontId="20" fillId="0" borderId="0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/>
    <xf numFmtId="164" fontId="2" fillId="0" borderId="9" xfId="1" applyFont="1" applyFill="1" applyBorder="1" applyAlignment="1" applyProtection="1">
      <alignment horizontal="right"/>
    </xf>
    <xf numFmtId="164" fontId="2" fillId="0" borderId="9" xfId="1" applyFont="1" applyFill="1" applyBorder="1" applyAlignment="1" applyProtection="1">
      <alignment horizontal="center"/>
    </xf>
    <xf numFmtId="164" fontId="14" fillId="7" borderId="0" xfId="1" applyFill="1" applyBorder="1" applyAlignment="1" applyProtection="1">
      <alignment horizontal="center"/>
    </xf>
    <xf numFmtId="164" fontId="3" fillId="8" borderId="0" xfId="1" applyFont="1" applyFill="1" applyBorder="1" applyAlignment="1" applyProtection="1"/>
    <xf numFmtId="164" fontId="3" fillId="7" borderId="0" xfId="1" applyFont="1" applyFill="1" applyBorder="1" applyAlignment="1" applyProtection="1">
      <alignment horizontal="right"/>
    </xf>
    <xf numFmtId="0" fontId="3" fillId="7" borderId="0" xfId="0" applyFont="1" applyFill="1" applyAlignment="1">
      <alignment horizontal="left"/>
    </xf>
    <xf numFmtId="0" fontId="17" fillId="0" borderId="0" xfId="0" applyFont="1"/>
    <xf numFmtId="164" fontId="14" fillId="7" borderId="0" xfId="1" applyFill="1" applyBorder="1" applyAlignment="1" applyProtection="1"/>
    <xf numFmtId="164" fontId="2" fillId="0" borderId="0" xfId="1" applyFont="1" applyAlignment="1">
      <alignment horizontal="left"/>
    </xf>
    <xf numFmtId="164" fontId="2" fillId="8" borderId="0" xfId="1" applyFont="1" applyFill="1" applyBorder="1" applyAlignment="1" applyProtection="1">
      <alignment horizontal="center"/>
    </xf>
    <xf numFmtId="169" fontId="0" fillId="0" borderId="0" xfId="0" applyNumberFormat="1" applyAlignment="1">
      <alignment horizontal="center"/>
    </xf>
    <xf numFmtId="164" fontId="2" fillId="0" borderId="0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/>
    <xf numFmtId="164" fontId="6" fillId="0" borderId="1" xfId="1" applyFont="1" applyBorder="1" applyAlignment="1">
      <alignment horizontal="left"/>
    </xf>
    <xf numFmtId="164" fontId="2" fillId="0" borderId="1" xfId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164" fontId="2" fillId="8" borderId="0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>
      <alignment horizontal="right"/>
    </xf>
    <xf numFmtId="164" fontId="2" fillId="8" borderId="1" xfId="1" applyFont="1" applyFill="1" applyBorder="1" applyAlignment="1" applyProtection="1"/>
    <xf numFmtId="39" fontId="2" fillId="2" borderId="0" xfId="3" applyNumberFormat="1" applyFont="1" applyFill="1" applyBorder="1" applyAlignment="1" applyProtection="1">
      <alignment horizontal="center"/>
    </xf>
    <xf numFmtId="164" fontId="14" fillId="8" borderId="7" xfId="1" applyFill="1" applyBorder="1" applyAlignment="1" applyProtection="1">
      <alignment horizontal="center"/>
    </xf>
    <xf numFmtId="164" fontId="6" fillId="0" borderId="0" xfId="1" applyFont="1" applyBorder="1" applyAlignment="1">
      <alignment horizontal="left"/>
    </xf>
    <xf numFmtId="169" fontId="2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0" fillId="10" borderId="0" xfId="0" applyFill="1"/>
    <xf numFmtId="0" fontId="3" fillId="11" borderId="0" xfId="0" applyFont="1" applyFill="1"/>
    <xf numFmtId="14" fontId="3" fillId="11" borderId="0" xfId="0" applyNumberFormat="1" applyFont="1" applyFill="1" applyAlignment="1">
      <alignment horizontal="right"/>
    </xf>
    <xf numFmtId="14" fontId="3" fillId="11" borderId="0" xfId="0" applyNumberFormat="1" applyFont="1" applyFill="1"/>
    <xf numFmtId="164" fontId="3" fillId="11" borderId="0" xfId="1" applyFont="1" applyFill="1" applyBorder="1" applyAlignment="1" applyProtection="1">
      <alignment horizontal="right"/>
    </xf>
    <xf numFmtId="169" fontId="3" fillId="11" borderId="0" xfId="6" applyNumberFormat="1" applyFont="1" applyFill="1" applyBorder="1" applyAlignment="1"/>
    <xf numFmtId="164" fontId="3" fillId="11" borderId="0" xfId="1" applyFont="1" applyFill="1" applyBorder="1" applyAlignment="1" applyProtection="1"/>
    <xf numFmtId="169" fontId="3" fillId="7" borderId="0" xfId="6" applyNumberFormat="1" applyFont="1" applyFill="1" applyBorder="1" applyAlignment="1"/>
    <xf numFmtId="164" fontId="3" fillId="7" borderId="0" xfId="1" applyFont="1" applyFill="1" applyBorder="1" applyAlignment="1" applyProtection="1"/>
    <xf numFmtId="169" fontId="3" fillId="11" borderId="0" xfId="0" applyNumberFormat="1" applyFont="1" applyFill="1"/>
    <xf numFmtId="164" fontId="7" fillId="10" borderId="0" xfId="1" applyFont="1" applyFill="1" applyBorder="1" applyAlignment="1" applyProtection="1"/>
    <xf numFmtId="169" fontId="3" fillId="10" borderId="0" xfId="6" applyNumberFormat="1" applyFont="1" applyFill="1" applyBorder="1" applyAlignment="1"/>
    <xf numFmtId="169" fontId="3" fillId="10" borderId="0" xfId="0" applyNumberFormat="1" applyFont="1" applyFill="1"/>
    <xf numFmtId="164" fontId="7" fillId="10" borderId="0" xfId="1" applyFont="1" applyFill="1" applyBorder="1" applyAlignment="1" applyProtection="1">
      <alignment horizontal="center"/>
    </xf>
    <xf numFmtId="169" fontId="4" fillId="10" borderId="0" xfId="0" applyNumberFormat="1" applyFont="1" applyFill="1" applyAlignment="1">
      <alignment horizontal="center"/>
    </xf>
    <xf numFmtId="14" fontId="0" fillId="10" borderId="0" xfId="0" applyNumberFormat="1" applyFill="1" applyAlignment="1">
      <alignment horizontal="right"/>
    </xf>
    <xf numFmtId="164" fontId="14" fillId="10" borderId="0" xfId="1" applyFill="1" applyBorder="1" applyAlignment="1" applyProtection="1"/>
    <xf numFmtId="164" fontId="14" fillId="10" borderId="0" xfId="1" applyFill="1" applyBorder="1" applyAlignment="1" applyProtection="1">
      <alignment horizontal="center"/>
    </xf>
    <xf numFmtId="14" fontId="0" fillId="10" borderId="0" xfId="0" applyNumberFormat="1" applyFill="1"/>
    <xf numFmtId="164" fontId="14" fillId="10" borderId="0" xfId="1" applyFill="1" applyBorder="1" applyAlignment="1" applyProtection="1">
      <alignment horizontal="right"/>
    </xf>
    <xf numFmtId="0" fontId="0" fillId="10" borderId="0" xfId="0" applyFill="1" applyAlignment="1">
      <alignment horizontal="left"/>
    </xf>
    <xf numFmtId="169" fontId="0" fillId="10" borderId="0" xfId="0" applyNumberFormat="1" applyFill="1" applyAlignment="1">
      <alignment horizontal="center"/>
    </xf>
    <xf numFmtId="0" fontId="0" fillId="12" borderId="0" xfId="0" applyFill="1"/>
    <xf numFmtId="169" fontId="4" fillId="12" borderId="0" xfId="0" applyNumberFormat="1" applyFont="1" applyFill="1" applyAlignment="1">
      <alignment horizontal="center"/>
    </xf>
    <xf numFmtId="14" fontId="0" fillId="12" borderId="0" xfId="0" applyNumberFormat="1" applyFill="1" applyAlignment="1">
      <alignment horizontal="right"/>
    </xf>
    <xf numFmtId="164" fontId="14" fillId="12" borderId="0" xfId="1" applyFill="1" applyBorder="1" applyAlignment="1" applyProtection="1"/>
    <xf numFmtId="14" fontId="0" fillId="12" borderId="0" xfId="0" applyNumberFormat="1" applyFill="1"/>
    <xf numFmtId="164" fontId="14" fillId="12" borderId="0" xfId="1" applyFill="1" applyBorder="1" applyAlignment="1" applyProtection="1">
      <alignment horizontal="right"/>
    </xf>
    <xf numFmtId="0" fontId="15" fillId="10" borderId="0" xfId="0" applyFont="1" applyFill="1" applyAlignment="1">
      <alignment horizontal="right"/>
    </xf>
    <xf numFmtId="164" fontId="14" fillId="10" borderId="0" xfId="1" applyFill="1"/>
    <xf numFmtId="164" fontId="14" fillId="12" borderId="0" xfId="1" applyFill="1"/>
    <xf numFmtId="164" fontId="0" fillId="10" borderId="0" xfId="1" applyFont="1" applyFill="1" applyBorder="1" applyAlignment="1" applyProtection="1">
      <alignment horizontal="right"/>
    </xf>
    <xf numFmtId="0" fontId="3" fillId="13" borderId="0" xfId="0" applyFont="1" applyFill="1" applyAlignment="1">
      <alignment horizontal="right"/>
    </xf>
    <xf numFmtId="169" fontId="4" fillId="13" borderId="0" xfId="0" applyNumberFormat="1" applyFont="1" applyFill="1" applyAlignment="1">
      <alignment horizontal="center"/>
    </xf>
    <xf numFmtId="0" fontId="3" fillId="14" borderId="0" xfId="0" applyFont="1" applyFill="1"/>
    <xf numFmtId="14" fontId="0" fillId="13" borderId="0" xfId="0" applyNumberFormat="1" applyFill="1" applyAlignment="1">
      <alignment horizontal="right"/>
    </xf>
    <xf numFmtId="164" fontId="3" fillId="13" borderId="0" xfId="1" applyFont="1" applyFill="1" applyBorder="1" applyAlignment="1" applyProtection="1">
      <alignment horizontal="right"/>
    </xf>
    <xf numFmtId="164" fontId="14" fillId="13" borderId="0" xfId="1" applyFill="1" applyBorder="1" applyAlignment="1" applyProtection="1"/>
    <xf numFmtId="164" fontId="14" fillId="13" borderId="0" xfId="1" applyFill="1" applyBorder="1" applyAlignment="1" applyProtection="1">
      <alignment horizontal="center"/>
    </xf>
    <xf numFmtId="0" fontId="3" fillId="13" borderId="0" xfId="0" applyFont="1" applyFill="1" applyAlignment="1">
      <alignment horizontal="center"/>
    </xf>
    <xf numFmtId="164" fontId="3" fillId="13" borderId="0" xfId="1" applyFont="1" applyFill="1" applyBorder="1" applyAlignment="1" applyProtection="1"/>
    <xf numFmtId="164" fontId="4" fillId="13" borderId="0" xfId="1" applyFont="1" applyFill="1" applyAlignment="1">
      <alignment horizontal="left"/>
    </xf>
    <xf numFmtId="164" fontId="3" fillId="13" borderId="0" xfId="1" applyFont="1" applyFill="1" applyAlignment="1">
      <alignment horizontal="left"/>
    </xf>
    <xf numFmtId="164" fontId="3" fillId="13" borderId="0" xfId="1" applyFont="1" applyFill="1" applyBorder="1" applyAlignment="1">
      <alignment horizontal="left"/>
    </xf>
    <xf numFmtId="0" fontId="0" fillId="10" borderId="2" xfId="0" applyFill="1" applyBorder="1"/>
    <xf numFmtId="164" fontId="0" fillId="10" borderId="5" xfId="1" applyFont="1" applyFill="1" applyBorder="1" applyAlignment="1" applyProtection="1"/>
    <xf numFmtId="164" fontId="14" fillId="10" borderId="2" xfId="1" applyFill="1" applyBorder="1"/>
    <xf numFmtId="164" fontId="0" fillId="10" borderId="2" xfId="1" applyFont="1" applyFill="1" applyBorder="1" applyAlignment="1" applyProtection="1"/>
    <xf numFmtId="164" fontId="0" fillId="10" borderId="2" xfId="0" applyNumberFormat="1" applyFill="1" applyBorder="1"/>
    <xf numFmtId="164" fontId="0" fillId="10" borderId="2" xfId="3" applyNumberFormat="1" applyFont="1" applyFill="1" applyBorder="1" applyAlignment="1" applyProtection="1"/>
    <xf numFmtId="164" fontId="2" fillId="0" borderId="2" xfId="1" applyFont="1" applyFill="1" applyBorder="1" applyAlignment="1" applyProtection="1"/>
    <xf numFmtId="164" fontId="2" fillId="0" borderId="2" xfId="0" applyNumberFormat="1" applyFont="1" applyBorder="1"/>
    <xf numFmtId="164" fontId="2" fillId="0" borderId="11" xfId="1" applyFont="1" applyFill="1" applyBorder="1" applyAlignment="1" applyProtection="1"/>
    <xf numFmtId="164" fontId="2" fillId="0" borderId="10" xfId="1" applyFont="1" applyFill="1" applyBorder="1" applyAlignment="1" applyProtection="1"/>
    <xf numFmtId="164" fontId="2" fillId="3" borderId="2" xfId="1" applyFont="1" applyFill="1" applyBorder="1" applyAlignment="1" applyProtection="1"/>
    <xf numFmtId="169" fontId="0" fillId="12" borderId="0" xfId="0" applyNumberFormat="1" applyFill="1" applyAlignment="1">
      <alignment horizontal="left"/>
    </xf>
    <xf numFmtId="164" fontId="14" fillId="12" borderId="0" xfId="1" applyFill="1" applyBorder="1" applyAlignment="1" applyProtection="1">
      <alignment horizontal="center"/>
    </xf>
    <xf numFmtId="164" fontId="0" fillId="12" borderId="0" xfId="1" applyFont="1" applyFill="1" applyBorder="1" applyAlignment="1" applyProtection="1"/>
    <xf numFmtId="164" fontId="0" fillId="10" borderId="0" xfId="1" applyFont="1" applyFill="1" applyBorder="1" applyAlignment="1" applyProtection="1"/>
    <xf numFmtId="164" fontId="0" fillId="0" borderId="0" xfId="0" applyNumberFormat="1"/>
    <xf numFmtId="164" fontId="0" fillId="13" borderId="0" xfId="1" applyFont="1" applyFill="1" applyBorder="1" applyAlignment="1" applyProtection="1"/>
    <xf numFmtId="169" fontId="3" fillId="0" borderId="0" xfId="6" applyNumberFormat="1" applyFont="1" applyFill="1" applyBorder="1" applyAlignment="1"/>
    <xf numFmtId="164" fontId="3" fillId="8" borderId="9" xfId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69" fontId="4" fillId="8" borderId="0" xfId="0" applyNumberFormat="1" applyFont="1" applyFill="1" applyAlignment="1">
      <alignment horizontal="center"/>
    </xf>
    <xf numFmtId="14" fontId="0" fillId="8" borderId="0" xfId="0" applyNumberFormat="1" applyFill="1"/>
    <xf numFmtId="164" fontId="0" fillId="8" borderId="0" xfId="1" applyFont="1" applyFill="1" applyBorder="1" applyAlignment="1" applyProtection="1"/>
    <xf numFmtId="14" fontId="0" fillId="8" borderId="0" xfId="0" applyNumberFormat="1" applyFill="1" applyAlignment="1">
      <alignment horizontal="right"/>
    </xf>
    <xf numFmtId="0" fontId="0" fillId="8" borderId="0" xfId="0" applyFill="1" applyAlignment="1">
      <alignment horizontal="left"/>
    </xf>
    <xf numFmtId="164" fontId="0" fillId="8" borderId="0" xfId="1" applyFont="1" applyFill="1" applyBorder="1" applyAlignment="1" applyProtection="1">
      <alignment horizontal="right"/>
    </xf>
    <xf numFmtId="164" fontId="7" fillId="0" borderId="9" xfId="1" applyFont="1" applyFill="1" applyBorder="1" applyAlignment="1" applyProtection="1">
      <alignment horizontal="right"/>
    </xf>
    <xf numFmtId="0" fontId="17" fillId="8" borderId="0" xfId="0" applyFont="1" applyFill="1"/>
    <xf numFmtId="0" fontId="15" fillId="8" borderId="0" xfId="0" applyFont="1" applyFill="1" applyAlignment="1">
      <alignment horizontal="right"/>
    </xf>
    <xf numFmtId="164" fontId="14" fillId="8" borderId="0" xfId="1" applyFill="1"/>
    <xf numFmtId="164" fontId="0" fillId="12" borderId="0" xfId="1" applyFont="1" applyFill="1"/>
    <xf numFmtId="0" fontId="0" fillId="8" borderId="0" xfId="0" applyFill="1" applyAlignment="1">
      <alignment horizontal="center"/>
    </xf>
    <xf numFmtId="164" fontId="15" fillId="15" borderId="14" xfId="1" applyFont="1" applyFill="1" applyBorder="1" applyAlignment="1" applyProtection="1">
      <alignment horizontal="center" wrapText="1"/>
    </xf>
    <xf numFmtId="164" fontId="15" fillId="15" borderId="16" xfId="1" applyFont="1" applyFill="1" applyBorder="1" applyAlignment="1" applyProtection="1">
      <alignment horizontal="center" wrapText="1"/>
    </xf>
    <xf numFmtId="14" fontId="3" fillId="8" borderId="0" xfId="0" applyNumberFormat="1" applyFont="1" applyFill="1" applyAlignment="1">
      <alignment horizontal="right"/>
    </xf>
    <xf numFmtId="14" fontId="3" fillId="8" borderId="0" xfId="0" applyNumberFormat="1" applyFont="1" applyFill="1"/>
    <xf numFmtId="0" fontId="2" fillId="16" borderId="0" xfId="0" applyFont="1" applyFill="1" applyAlignment="1">
      <alignment horizontal="center"/>
    </xf>
    <xf numFmtId="0" fontId="0" fillId="16" borderId="0" xfId="0" applyFill="1"/>
    <xf numFmtId="0" fontId="8" fillId="0" borderId="0" xfId="0" applyFont="1" applyAlignment="1">
      <alignment horizontal="center"/>
    </xf>
    <xf numFmtId="0" fontId="8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165" fontId="2" fillId="0" borderId="0" xfId="3" applyFont="1" applyBorder="1" applyAlignment="1">
      <alignment horizontal="center"/>
    </xf>
    <xf numFmtId="170" fontId="0" fillId="0" borderId="0" xfId="0" applyNumberFormat="1"/>
    <xf numFmtId="39" fontId="14" fillId="9" borderId="0" xfId="3" applyNumberFormat="1" applyFill="1" applyBorder="1" applyAlignment="1" applyProtection="1">
      <alignment horizontal="right"/>
    </xf>
    <xf numFmtId="39" fontId="14" fillId="2" borderId="0" xfId="3" applyNumberFormat="1" applyFill="1" applyBorder="1" applyAlignment="1" applyProtection="1">
      <alignment horizontal="right"/>
    </xf>
    <xf numFmtId="39" fontId="0" fillId="2" borderId="0" xfId="3" applyNumberFormat="1" applyFont="1" applyFill="1" applyBorder="1" applyAlignment="1" applyProtection="1">
      <alignment horizontal="right"/>
    </xf>
    <xf numFmtId="39" fontId="2" fillId="2" borderId="4" xfId="3" applyNumberFormat="1" applyFont="1" applyFill="1" applyBorder="1" applyAlignment="1" applyProtection="1">
      <alignment horizontal="right"/>
    </xf>
    <xf numFmtId="164" fontId="21" fillId="15" borderId="0" xfId="1" applyFont="1" applyFill="1"/>
    <xf numFmtId="164" fontId="21" fillId="15" borderId="4" xfId="1" applyFont="1" applyFill="1" applyBorder="1"/>
    <xf numFmtId="0" fontId="7" fillId="5" borderId="21" xfId="0" applyFont="1" applyFill="1" applyBorder="1" applyAlignment="1">
      <alignment horizontal="center"/>
    </xf>
    <xf numFmtId="0" fontId="7" fillId="5" borderId="21" xfId="0" applyFont="1" applyFill="1" applyBorder="1"/>
    <xf numFmtId="0" fontId="7" fillId="5" borderId="21" xfId="0" applyFont="1" applyFill="1" applyBorder="1" applyAlignment="1">
      <alignment horizontal="right"/>
    </xf>
    <xf numFmtId="164" fontId="7" fillId="5" borderId="21" xfId="1" applyFont="1" applyFill="1" applyBorder="1" applyAlignment="1" applyProtection="1">
      <alignment horizontal="center"/>
    </xf>
    <xf numFmtId="164" fontId="7" fillId="5" borderId="21" xfId="1" applyFont="1" applyFill="1" applyBorder="1" applyAlignment="1" applyProtection="1"/>
    <xf numFmtId="39" fontId="14" fillId="6" borderId="21" xfId="3" applyNumberFormat="1" applyFill="1" applyBorder="1" applyAlignment="1" applyProtection="1">
      <alignment horizontal="center"/>
    </xf>
    <xf numFmtId="0" fontId="2" fillId="16" borderId="21" xfId="0" applyFont="1" applyFill="1" applyBorder="1" applyAlignment="1">
      <alignment horizontal="center"/>
    </xf>
    <xf numFmtId="164" fontId="7" fillId="8" borderId="0" xfId="1" applyFont="1" applyFill="1" applyBorder="1" applyAlignment="1" applyProtection="1">
      <alignment horizontal="center"/>
    </xf>
    <xf numFmtId="168" fontId="2" fillId="8" borderId="0" xfId="1" applyNumberFormat="1" applyFont="1" applyFill="1" applyBorder="1" applyAlignment="1" applyProtection="1">
      <alignment horizontal="center"/>
    </xf>
    <xf numFmtId="164" fontId="7" fillId="8" borderId="0" xfId="1" applyFont="1" applyFill="1" applyBorder="1" applyAlignment="1" applyProtection="1"/>
    <xf numFmtId="0" fontId="2" fillId="8" borderId="0" xfId="0" applyFont="1" applyFill="1" applyAlignment="1">
      <alignment horizontal="center"/>
    </xf>
    <xf numFmtId="166" fontId="7" fillId="8" borderId="0" xfId="1" applyNumberFormat="1" applyFont="1" applyFill="1" applyBorder="1" applyAlignment="1" applyProtection="1">
      <alignment horizontal="center"/>
    </xf>
    <xf numFmtId="0" fontId="7" fillId="8" borderId="0" xfId="0" applyFont="1" applyFill="1" applyAlignment="1">
      <alignment horizontal="center"/>
    </xf>
    <xf numFmtId="0" fontId="7" fillId="8" borderId="0" xfId="0" applyFont="1" applyFill="1" applyAlignment="1">
      <alignment horizontal="right"/>
    </xf>
    <xf numFmtId="0" fontId="7" fillId="8" borderId="0" xfId="0" applyFont="1" applyFill="1"/>
    <xf numFmtId="170" fontId="2" fillId="16" borderId="21" xfId="0" applyNumberFormat="1" applyFont="1" applyFill="1" applyBorder="1" applyAlignment="1">
      <alignment horizontal="center"/>
    </xf>
    <xf numFmtId="0" fontId="8" fillId="8" borderId="0" xfId="0" applyFont="1" applyFill="1" applyAlignment="1">
      <alignment horizontal="center"/>
    </xf>
    <xf numFmtId="169" fontId="3" fillId="8" borderId="0" xfId="6" applyNumberFormat="1" applyFont="1" applyFill="1" applyBorder="1" applyAlignment="1"/>
    <xf numFmtId="164" fontId="6" fillId="8" borderId="0" xfId="1" applyFont="1" applyFill="1" applyAlignment="1">
      <alignment horizontal="left"/>
    </xf>
    <xf numFmtId="169" fontId="6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right"/>
    </xf>
    <xf numFmtId="164" fontId="21" fillId="15" borderId="15" xfId="1" applyFont="1" applyFill="1" applyBorder="1" applyAlignment="1" applyProtection="1">
      <alignment horizontal="center"/>
    </xf>
    <xf numFmtId="164" fontId="21" fillId="15" borderId="0" xfId="1" applyFont="1" applyFill="1" applyBorder="1" applyAlignment="1" applyProtection="1">
      <alignment horizontal="center"/>
    </xf>
    <xf numFmtId="164" fontId="21" fillId="15" borderId="16" xfId="1" applyFont="1" applyFill="1" applyBorder="1" applyAlignment="1" applyProtection="1">
      <alignment horizontal="center"/>
    </xf>
    <xf numFmtId="164" fontId="21" fillId="15" borderId="19" xfId="1" applyFont="1" applyFill="1" applyBorder="1" applyAlignment="1" applyProtection="1">
      <alignment horizontal="center"/>
    </xf>
    <xf numFmtId="164" fontId="21" fillId="15" borderId="6" xfId="1" applyFont="1" applyFill="1" applyBorder="1" applyAlignment="1" applyProtection="1">
      <alignment horizontal="center"/>
    </xf>
    <xf numFmtId="164" fontId="21" fillId="15" borderId="20" xfId="1" applyFont="1" applyFill="1" applyBorder="1" applyAlignment="1" applyProtection="1">
      <alignment horizontal="center"/>
    </xf>
    <xf numFmtId="164" fontId="21" fillId="15" borderId="0" xfId="1" applyFont="1" applyFill="1" applyBorder="1" applyAlignment="1" applyProtection="1">
      <alignment horizontal="right"/>
    </xf>
    <xf numFmtId="164" fontId="21" fillId="8" borderId="0" xfId="1" applyFont="1" applyFill="1" applyBorder="1" applyAlignment="1" applyProtection="1">
      <alignment horizontal="center"/>
    </xf>
    <xf numFmtId="164" fontId="22" fillId="8" borderId="0" xfId="1" applyFont="1" applyFill="1" applyBorder="1" applyAlignment="1" applyProtection="1">
      <alignment horizontal="center"/>
    </xf>
    <xf numFmtId="164" fontId="22" fillId="0" borderId="0" xfId="1" applyFont="1" applyFill="1" applyBorder="1" applyAlignment="1" applyProtection="1">
      <alignment horizontal="center"/>
    </xf>
    <xf numFmtId="164" fontId="22" fillId="15" borderId="9" xfId="1" applyFont="1" applyFill="1" applyBorder="1" applyAlignment="1" applyProtection="1">
      <alignment horizontal="center"/>
    </xf>
    <xf numFmtId="164" fontId="21" fillId="15" borderId="9" xfId="1" applyFont="1" applyFill="1" applyBorder="1" applyAlignment="1" applyProtection="1">
      <alignment horizontal="center"/>
    </xf>
    <xf numFmtId="164" fontId="21" fillId="15" borderId="3" xfId="1" applyFont="1" applyFill="1" applyBorder="1" applyAlignment="1" applyProtection="1">
      <alignment horizontal="right"/>
    </xf>
    <xf numFmtId="167" fontId="0" fillId="8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64" fontId="15" fillId="15" borderId="13" xfId="1" applyFont="1" applyFill="1" applyBorder="1" applyAlignment="1" applyProtection="1">
      <alignment horizontal="center" wrapText="1"/>
    </xf>
    <xf numFmtId="164" fontId="15" fillId="15" borderId="15" xfId="1" applyFont="1" applyFill="1" applyBorder="1" applyAlignment="1" applyProtection="1">
      <alignment horizontal="center" wrapText="1"/>
    </xf>
    <xf numFmtId="164" fontId="15" fillId="15" borderId="17" xfId="1" applyFont="1" applyFill="1" applyBorder="1" applyAlignment="1" applyProtection="1">
      <alignment horizontal="center" wrapText="1"/>
    </xf>
    <xf numFmtId="164" fontId="15" fillId="15" borderId="7" xfId="1" applyFont="1" applyFill="1" applyBorder="1" applyAlignment="1" applyProtection="1">
      <alignment horizontal="center" wrapText="1"/>
    </xf>
    <xf numFmtId="164" fontId="15" fillId="15" borderId="0" xfId="1" applyFont="1" applyFill="1" applyBorder="1" applyAlignment="1" applyProtection="1">
      <alignment horizontal="center" wrapText="1"/>
    </xf>
    <xf numFmtId="164" fontId="15" fillId="15" borderId="1" xfId="1" applyFont="1" applyFill="1" applyBorder="1" applyAlignment="1" applyProtection="1">
      <alignment horizontal="center" wrapText="1"/>
    </xf>
    <xf numFmtId="164" fontId="15" fillId="15" borderId="16" xfId="1" applyFont="1" applyFill="1" applyBorder="1" applyAlignment="1" applyProtection="1">
      <alignment horizontal="center" wrapText="1"/>
    </xf>
    <xf numFmtId="164" fontId="15" fillId="15" borderId="18" xfId="1" applyFont="1" applyFill="1" applyBorder="1" applyAlignment="1" applyProtection="1">
      <alignment horizontal="center" wrapText="1"/>
    </xf>
    <xf numFmtId="0" fontId="2" fillId="0" borderId="0" xfId="0" applyFont="1" applyAlignment="1">
      <alignment horizontal="center"/>
    </xf>
    <xf numFmtId="170" fontId="2" fillId="17" borderId="0" xfId="3" applyNumberFormat="1" applyFont="1" applyFill="1" applyBorder="1" applyAlignment="1" applyProtection="1">
      <alignment horizontal="center" wrapText="1"/>
    </xf>
    <xf numFmtId="0" fontId="10" fillId="18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167" fontId="0" fillId="18" borderId="0" xfId="0" applyNumberFormat="1" applyFill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3.2395456851556072E-2"/>
                  <c:y val="6.218897637795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5-49F5-A279-96562A12C693}"/>
                </c:ext>
              </c:extLst>
            </c:dLbl>
            <c:dLbl>
              <c:idx val="2"/>
              <c:layout>
                <c:manualLayout>
                  <c:x val="-3.0993432822692533E-2"/>
                  <c:y val="-3.61370078740157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19-4B8C-8308-B082CA1B760B}"/>
                </c:ext>
              </c:extLst>
            </c:dLbl>
            <c:dLbl>
              <c:idx val="3"/>
              <c:layout>
                <c:manualLayout>
                  <c:x val="6.6634309849509382E-2"/>
                  <c:y val="9.528608923884514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5-49F5-A279-96562A12C6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75557119.499999985</c:v>
                </c:pt>
                <c:pt idx="1">
                  <c:v>2684061.54</c:v>
                </c:pt>
                <c:pt idx="2">
                  <c:v>6155192.7800000003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1"/>
          <c:dLbls>
            <c:dLbl>
              <c:idx val="2"/>
              <c:layout>
                <c:manualLayout>
                  <c:x val="6.4534982454547418E-2"/>
                  <c:y val="2.52790934982256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4563314114881"/>
                      <c:h val="0.16895576640927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744-4ED1-A9D0-BFEAE22E3BA1}"/>
                </c:ext>
              </c:extLst>
            </c:dLbl>
            <c:dLbl>
              <c:idx val="3"/>
              <c:layout>
                <c:manualLayout>
                  <c:x val="6.2788339798332343E-2"/>
                  <c:y val="-1.16069388811891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4-4ED1-A9D0-BFEAE22E3BA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Sheet'!$B$26:$E$26</c:f>
              <c:numCache>
                <c:formatCode>_(* #,##0.00_);_(* \(#,##0.00\);_(* \-??_);_(@_)</c:formatCode>
                <c:ptCount val="4"/>
                <c:pt idx="0">
                  <c:v>74768321.159999996</c:v>
                </c:pt>
                <c:pt idx="1">
                  <c:v>3629764.209999999</c:v>
                </c:pt>
                <c:pt idx="2">
                  <c:v>4133753.13</c:v>
                </c:pt>
                <c:pt idx="3">
                  <c:v>27500000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75557119.499999985</c:v>
                </c:pt>
                <c:pt idx="1">
                  <c:v>2684061.54</c:v>
                </c:pt>
                <c:pt idx="2">
                  <c:v>6155192.7800000003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Sheet'!$H$26:$K$26</c:f>
              <c:numCache>
                <c:formatCode>_(* #,##0.00_);_(* \(#,##0.00\);_(* \-??_);_(@_)</c:formatCode>
                <c:ptCount val="4"/>
                <c:pt idx="0">
                  <c:v>75557119.499999985</c:v>
                </c:pt>
                <c:pt idx="1">
                  <c:v>2684061.54</c:v>
                </c:pt>
                <c:pt idx="2">
                  <c:v>6155192.7800000003</c:v>
                </c:pt>
                <c:pt idx="3">
                  <c:v>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0</xdr:rowOff>
    </xdr:from>
    <xdr:to>
      <xdr:col>5</xdr:col>
      <xdr:colOff>19050</xdr:colOff>
      <xdr:row>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7948D-A682-2EA6-6E48-EB7642488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0"/>
          <a:ext cx="1609725" cy="1609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57151</xdr:colOff>
      <xdr:row>25</xdr:row>
      <xdr:rowOff>57150</xdr:rowOff>
    </xdr:from>
    <xdr:to>
      <xdr:col>6</xdr:col>
      <xdr:colOff>257176</xdr:colOff>
      <xdr:row>37</xdr:row>
      <xdr:rowOff>157835</xdr:rowOff>
    </xdr:to>
    <xdr:pic>
      <xdr:nvPicPr>
        <xdr:cNvPr id="4" name="Picture 3" descr="Photo">
          <a:extLst>
            <a:ext uri="{FF2B5EF4-FFF2-40B4-BE49-F238E27FC236}">
              <a16:creationId xmlns:a16="http://schemas.microsoft.com/office/drawing/2014/main" id="{AD4CE874-492F-0BB8-1B62-00563674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4819650"/>
          <a:ext cx="3676650" cy="2043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38100</xdr:rowOff>
    </xdr:from>
    <xdr:to>
      <xdr:col>1</xdr:col>
      <xdr:colOff>0</xdr:colOff>
      <xdr:row>28</xdr:row>
      <xdr:rowOff>95250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28</xdr:row>
      <xdr:rowOff>51435</xdr:rowOff>
    </xdr:from>
    <xdr:to>
      <xdr:col>10</xdr:col>
      <xdr:colOff>228600</xdr:colOff>
      <xdr:row>40</xdr:row>
      <xdr:rowOff>32385</xdr:rowOff>
    </xdr:to>
    <xdr:graphicFrame macro="">
      <xdr:nvGraphicFramePr>
        <xdr:cNvPr id="1027" name="Chart 5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28</xdr:row>
      <xdr:rowOff>45720</xdr:rowOff>
    </xdr:from>
    <xdr:to>
      <xdr:col>10</xdr:col>
      <xdr:colOff>236220</xdr:colOff>
      <xdr:row>40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28</xdr:row>
      <xdr:rowOff>0</xdr:rowOff>
    </xdr:from>
    <xdr:to>
      <xdr:col>4</xdr:col>
      <xdr:colOff>68580</xdr:colOff>
      <xdr:row>40</xdr:row>
      <xdr:rowOff>26670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L25"/>
  <sheetViews>
    <sheetView showGridLines="0" tabSelected="1" workbookViewId="0"/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1:12" ht="15.75" x14ac:dyDescent="0.25">
      <c r="B13" s="37"/>
    </row>
    <row r="14" spans="1:12" ht="35.25" x14ac:dyDescent="0.5">
      <c r="A14" s="284" t="s">
        <v>63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</row>
    <row r="17" spans="1:12" ht="18" x14ac:dyDescent="0.25">
      <c r="A17" s="273" t="s">
        <v>64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  <c r="L17" s="273"/>
    </row>
    <row r="20" spans="1:12" x14ac:dyDescent="0.2">
      <c r="A20" s="285" t="s">
        <v>65</v>
      </c>
      <c r="B20" s="285"/>
      <c r="C20" s="285"/>
      <c r="D20" s="285"/>
      <c r="E20" s="285"/>
      <c r="F20" s="285"/>
      <c r="G20" s="285"/>
      <c r="H20" s="285"/>
      <c r="I20" s="285"/>
      <c r="J20" s="285"/>
      <c r="K20" s="285"/>
      <c r="L20" s="285"/>
    </row>
    <row r="21" spans="1:12" x14ac:dyDescent="0.2">
      <c r="A21" s="286">
        <v>45473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</row>
    <row r="22" spans="1:12" x14ac:dyDescent="0.2">
      <c r="A22" s="272"/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</row>
    <row r="23" spans="1:12" x14ac:dyDescent="0.2">
      <c r="A23" s="272"/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</row>
    <row r="24" spans="1:12" x14ac:dyDescent="0.2">
      <c r="A24" s="272"/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2"/>
    </row>
    <row r="25" spans="1:12" x14ac:dyDescent="0.2">
      <c r="E25" t="s">
        <v>0</v>
      </c>
    </row>
  </sheetData>
  <mergeCells count="4">
    <mergeCell ref="A14:L14"/>
    <mergeCell ref="A20:L20"/>
    <mergeCell ref="A21:L21"/>
    <mergeCell ref="A17:L17"/>
  </mergeCells>
  <phoneticPr fontId="5" type="noConversion"/>
  <printOptions horizontalCentered="1" verticalCentered="1"/>
  <pageMargins left="0.7" right="0.7" top="0.75" bottom="0.25" header="0.3" footer="0.3"/>
  <pageSetup paperSize="5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32"/>
  <sheetViews>
    <sheetView showGridLines="0" workbookViewId="0"/>
  </sheetViews>
  <sheetFormatPr defaultRowHeight="12.75" x14ac:dyDescent="0.2"/>
  <cols>
    <col min="7" max="7" width="17.28515625" customWidth="1"/>
  </cols>
  <sheetData>
    <row r="1" spans="3:14" ht="15" x14ac:dyDescent="0.2">
      <c r="C1" s="38" t="s">
        <v>66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3:14" ht="15" x14ac:dyDescent="0.2">
      <c r="C2" s="38" t="s">
        <v>67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3:14" ht="15" x14ac:dyDescent="0.2"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3:14" ht="15" x14ac:dyDescent="0.2">
      <c r="C4" s="38" t="s">
        <v>79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3:14" ht="15" x14ac:dyDescent="0.2">
      <c r="C5" s="38" t="s">
        <v>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3:14" ht="15" x14ac:dyDescent="0.2">
      <c r="C6" s="38" t="s">
        <v>69</v>
      </c>
      <c r="D6" s="38"/>
      <c r="E6" s="38"/>
      <c r="F6" s="38"/>
      <c r="G6" s="38"/>
      <c r="H6" s="38" t="s">
        <v>70</v>
      </c>
      <c r="I6" s="38"/>
      <c r="J6" s="38"/>
      <c r="K6" s="38"/>
      <c r="L6" s="38"/>
      <c r="M6" s="38"/>
      <c r="N6" s="38"/>
    </row>
    <row r="7" spans="3:14" ht="15" x14ac:dyDescent="0.2"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3:14" ht="15" x14ac:dyDescent="0.2">
      <c r="C8" s="38" t="s">
        <v>71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3:14" ht="16.5" customHeight="1" x14ac:dyDescent="0.2">
      <c r="C9" s="38" t="s">
        <v>72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3:14" ht="15" x14ac:dyDescent="0.2"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3:14" ht="15" x14ac:dyDescent="0.2"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3:14" ht="15" x14ac:dyDescent="0.2"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3:14" ht="15" x14ac:dyDescent="0.2"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3:14" ht="15" x14ac:dyDescent="0.2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3:14" ht="15" x14ac:dyDescent="0.2">
      <c r="C15" s="39"/>
      <c r="D15" s="39"/>
      <c r="E15" s="39"/>
      <c r="F15" s="39"/>
      <c r="G15" s="38"/>
      <c r="H15" s="38"/>
      <c r="I15" s="39"/>
      <c r="J15" s="39"/>
      <c r="K15" s="39"/>
      <c r="L15" s="39"/>
      <c r="M15" s="38"/>
      <c r="N15" s="38"/>
    </row>
    <row r="16" spans="3:14" ht="15" x14ac:dyDescent="0.2">
      <c r="C16" s="40" t="s">
        <v>142</v>
      </c>
      <c r="D16" s="38"/>
      <c r="E16" s="38"/>
      <c r="F16" s="38"/>
      <c r="G16" s="38"/>
      <c r="H16" s="38"/>
      <c r="I16" s="38" t="s">
        <v>127</v>
      </c>
      <c r="J16" s="38"/>
      <c r="K16" s="38"/>
      <c r="L16" s="38"/>
      <c r="M16" s="38"/>
      <c r="N16" s="38"/>
    </row>
    <row r="17" spans="3:14" ht="15" x14ac:dyDescent="0.2">
      <c r="C17" s="40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3:14" ht="15" x14ac:dyDescent="0.2">
      <c r="C18" s="40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3:14" ht="15" x14ac:dyDescent="0.2"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3:14" ht="15" x14ac:dyDescent="0.2">
      <c r="C20" s="39"/>
      <c r="D20" s="39"/>
      <c r="E20" s="39"/>
      <c r="F20" s="39"/>
      <c r="G20" s="38"/>
      <c r="H20" s="38"/>
      <c r="I20" s="39"/>
      <c r="J20" s="39"/>
      <c r="K20" s="39"/>
      <c r="L20" s="39"/>
      <c r="M20" s="38"/>
      <c r="N20" s="38"/>
    </row>
    <row r="21" spans="3:14" ht="15" x14ac:dyDescent="0.2">
      <c r="C21" s="38" t="s">
        <v>204</v>
      </c>
      <c r="D21" s="38"/>
      <c r="E21" s="38"/>
      <c r="F21" s="38"/>
      <c r="G21" s="38"/>
      <c r="H21" s="38"/>
      <c r="I21" s="38" t="s">
        <v>108</v>
      </c>
      <c r="J21" s="38"/>
      <c r="K21" s="38"/>
      <c r="L21" s="38"/>
      <c r="M21" s="38"/>
      <c r="N21" s="38"/>
    </row>
    <row r="22" spans="3:14" ht="15" x14ac:dyDescent="0.2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3:14" ht="15" x14ac:dyDescent="0.2"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3:14" ht="15" x14ac:dyDescent="0.2"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3:14" ht="15" x14ac:dyDescent="0.2"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3:14" ht="15" x14ac:dyDescent="0.2">
      <c r="C26" s="39"/>
      <c r="D26" s="39"/>
      <c r="E26" s="39"/>
      <c r="F26" s="39"/>
      <c r="G26" s="38"/>
      <c r="H26" s="38"/>
      <c r="I26" s="39"/>
      <c r="J26" s="39"/>
      <c r="K26" s="39"/>
      <c r="L26" s="39"/>
      <c r="M26" s="38"/>
      <c r="N26" s="38"/>
    </row>
    <row r="27" spans="3:14" ht="15" x14ac:dyDescent="0.2">
      <c r="C27" s="38" t="s">
        <v>73</v>
      </c>
      <c r="D27" s="38"/>
      <c r="E27" s="38"/>
      <c r="F27" s="38"/>
      <c r="G27" s="38"/>
      <c r="H27" s="38"/>
      <c r="I27" s="38" t="s">
        <v>80</v>
      </c>
      <c r="J27" s="38"/>
      <c r="K27" s="38"/>
      <c r="L27" s="38"/>
      <c r="M27" s="38"/>
      <c r="N27" s="38"/>
    </row>
    <row r="28" spans="3:14" ht="15" x14ac:dyDescent="0.2"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3:14" ht="15" x14ac:dyDescent="0.2"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3:14" ht="15" x14ac:dyDescent="0.2">
      <c r="C30" s="38" t="s">
        <v>81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3:14" ht="15" x14ac:dyDescent="0.2">
      <c r="C31" s="38" t="s">
        <v>82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</row>
    <row r="32" spans="3:14" ht="15" x14ac:dyDescent="0.2"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2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A4" sqref="A4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5.42578125" style="3" customWidth="1"/>
    <col min="11" max="11" width="14.7109375" style="3" customWidth="1"/>
    <col min="12" max="12" width="15.140625" style="3" customWidth="1"/>
    <col min="13" max="14" width="9.140625" customWidth="1"/>
    <col min="15" max="15" width="14" customWidth="1"/>
  </cols>
  <sheetData>
    <row r="1" spans="1:12" s="4" customFormat="1" x14ac:dyDescent="0.2">
      <c r="B1" s="5"/>
      <c r="C1" s="5"/>
      <c r="D1" s="6"/>
      <c r="E1" s="5"/>
      <c r="F1" s="5"/>
      <c r="G1" s="3"/>
      <c r="H1" s="7"/>
      <c r="I1" s="7"/>
      <c r="J1" s="7"/>
      <c r="K1" s="7"/>
      <c r="L1" s="7"/>
    </row>
    <row r="2" spans="1:12" s="4" customFormat="1" x14ac:dyDescent="0.2">
      <c r="B2" s="5"/>
      <c r="C2" s="5"/>
      <c r="D2" s="6"/>
      <c r="E2" s="5"/>
      <c r="F2" s="5"/>
      <c r="G2" s="3"/>
      <c r="H2" s="7"/>
      <c r="I2" s="7"/>
      <c r="J2" s="7"/>
      <c r="K2" s="7"/>
      <c r="L2" s="7"/>
    </row>
    <row r="3" spans="1:12" s="4" customFormat="1" x14ac:dyDescent="0.2">
      <c r="B3" s="5"/>
      <c r="C3" s="5"/>
      <c r="D3" s="6"/>
      <c r="E3" s="5"/>
      <c r="F3" s="5"/>
      <c r="G3" s="3"/>
      <c r="H3" s="7"/>
      <c r="I3" s="7"/>
      <c r="J3" s="7"/>
      <c r="K3" s="7"/>
      <c r="L3" s="7"/>
    </row>
    <row r="4" spans="1:12" s="4" customFormat="1" x14ac:dyDescent="0.2">
      <c r="B4" s="5"/>
      <c r="C4" s="5"/>
      <c r="D4" s="6"/>
      <c r="E4" s="5"/>
      <c r="F4" s="5"/>
      <c r="G4" s="8"/>
      <c r="H4" s="7" t="s">
        <v>0</v>
      </c>
      <c r="I4" s="7"/>
      <c r="J4" s="7"/>
      <c r="K4" s="7"/>
      <c r="L4" s="7"/>
    </row>
    <row r="5" spans="1:12" s="58" customFormat="1" ht="19.5" x14ac:dyDescent="0.3">
      <c r="B5" s="59"/>
      <c r="C5" s="59"/>
      <c r="D5" s="61" t="s">
        <v>89</v>
      </c>
      <c r="E5" s="59"/>
      <c r="F5" s="59"/>
      <c r="G5" s="60"/>
      <c r="H5" s="59"/>
      <c r="I5" s="59"/>
      <c r="J5" s="61" t="s">
        <v>89</v>
      </c>
      <c r="K5" s="59"/>
      <c r="L5" s="59"/>
    </row>
    <row r="6" spans="1:12" x14ac:dyDescent="0.2">
      <c r="B6" s="3"/>
      <c r="C6" s="3"/>
      <c r="D6" s="10">
        <v>45352</v>
      </c>
      <c r="E6" s="3"/>
      <c r="F6" s="3"/>
      <c r="G6" s="9"/>
      <c r="J6" s="10">
        <v>45473</v>
      </c>
    </row>
    <row r="7" spans="1:12" x14ac:dyDescent="0.2">
      <c r="B7" s="11" t="s">
        <v>107</v>
      </c>
      <c r="C7" s="3"/>
      <c r="D7" s="11" t="s">
        <v>193</v>
      </c>
      <c r="E7" s="3"/>
      <c r="F7" s="3"/>
      <c r="G7" s="9"/>
      <c r="H7" s="11" t="s">
        <v>107</v>
      </c>
      <c r="J7" s="11" t="s">
        <v>193</v>
      </c>
    </row>
    <row r="8" spans="1:12" x14ac:dyDescent="0.2">
      <c r="B8" s="208" t="s">
        <v>223</v>
      </c>
      <c r="C8" s="11" t="s">
        <v>1</v>
      </c>
      <c r="D8" s="11" t="s">
        <v>191</v>
      </c>
      <c r="E8" s="11" t="s">
        <v>122</v>
      </c>
      <c r="F8" s="3"/>
      <c r="G8" s="9"/>
      <c r="H8" s="208" t="s">
        <v>223</v>
      </c>
      <c r="I8" s="11" t="s">
        <v>1</v>
      </c>
      <c r="J8" s="11" t="s">
        <v>191</v>
      </c>
      <c r="K8" s="11" t="s">
        <v>122</v>
      </c>
    </row>
    <row r="9" spans="1:12" s="13" customFormat="1" x14ac:dyDescent="0.2">
      <c r="A9"/>
      <c r="B9" s="107" t="s">
        <v>222</v>
      </c>
      <c r="C9" s="12" t="s">
        <v>2</v>
      </c>
      <c r="D9" s="13" t="s">
        <v>192</v>
      </c>
      <c r="E9" s="12" t="s">
        <v>3</v>
      </c>
      <c r="F9" s="12" t="s">
        <v>4</v>
      </c>
      <c r="G9" s="9"/>
      <c r="H9" s="107" t="s">
        <v>222</v>
      </c>
      <c r="I9" s="12" t="s">
        <v>2</v>
      </c>
      <c r="J9" s="13" t="s">
        <v>192</v>
      </c>
      <c r="K9" s="12" t="s">
        <v>3</v>
      </c>
      <c r="L9" s="12" t="s">
        <v>4</v>
      </c>
    </row>
    <row r="10" spans="1:12" s="14" customFormat="1" x14ac:dyDescent="0.2">
      <c r="A10" s="189" t="s">
        <v>5</v>
      </c>
      <c r="B10" s="190">
        <f>7066949.27+20000800+21236.96+461064.55</f>
        <v>27550050.780000001</v>
      </c>
      <c r="C10" s="191">
        <f>238000+245173.44+229000+229880.4+249000+238000+249331.17+243264.87+249413.34+243024.3+243485.16+243179.82+242982.99+242989.84</f>
        <v>3386725.3299999991</v>
      </c>
      <c r="D10" s="192">
        <f>1488615+927995.31+975385.32</f>
        <v>3391995.63</v>
      </c>
      <c r="E10" s="192">
        <v>25000000</v>
      </c>
      <c r="F10" s="192">
        <f t="shared" ref="F10:F24" si="0">SUM(B10:E10)</f>
        <v>59328771.740000002</v>
      </c>
      <c r="G10" s="16">
        <f>SUM(C10:F10)</f>
        <v>91107492.700000003</v>
      </c>
      <c r="H10" s="190">
        <f>4298973.39+800+10000000+5081072.61+23402.8+10041600.59</f>
        <v>29445849.390000001</v>
      </c>
      <c r="I10" s="191">
        <f>249000+238000+248985.06+242863.92+249019.92+242664.66+243106.96+242681.67+242514+242631.16</f>
        <v>2441467.35</v>
      </c>
      <c r="J10" s="192">
        <f>1494885+2000000+936088.32+977061.96</f>
        <v>5408035.2800000003</v>
      </c>
      <c r="K10" s="192">
        <v>10000000</v>
      </c>
      <c r="L10" s="192">
        <f t="shared" ref="L10:L24" si="1">SUM(H10:K10)</f>
        <v>47295352.020000003</v>
      </c>
    </row>
    <row r="11" spans="1:12" s="14" customFormat="1" x14ac:dyDescent="0.2">
      <c r="A11" s="14" t="s">
        <v>126</v>
      </c>
      <c r="B11" s="57">
        <v>13470816.98</v>
      </c>
      <c r="C11" s="64"/>
      <c r="D11" s="15"/>
      <c r="E11" s="15"/>
      <c r="F11" s="15">
        <f t="shared" si="0"/>
        <v>13470816.98</v>
      </c>
      <c r="G11" s="16"/>
      <c r="H11" s="57">
        <v>13485280.800000001</v>
      </c>
      <c r="I11" s="64"/>
      <c r="J11" s="15"/>
      <c r="K11" s="15"/>
      <c r="L11" s="15">
        <f t="shared" si="1"/>
        <v>13485280.800000001</v>
      </c>
    </row>
    <row r="12" spans="1:12" s="14" customFormat="1" x14ac:dyDescent="0.2">
      <c r="A12" s="189" t="s">
        <v>6</v>
      </c>
      <c r="B12" s="192">
        <v>6105.57</v>
      </c>
      <c r="C12" s="193"/>
      <c r="D12" s="192"/>
      <c r="E12" s="192"/>
      <c r="F12" s="192">
        <f t="shared" si="0"/>
        <v>6105.57</v>
      </c>
      <c r="G12" s="16">
        <f>SUM(C12:F12)</f>
        <v>6105.57</v>
      </c>
      <c r="H12" s="192">
        <v>6159.77</v>
      </c>
      <c r="I12" s="193"/>
      <c r="J12" s="192"/>
      <c r="K12" s="192"/>
      <c r="L12" s="192">
        <f t="shared" si="1"/>
        <v>6159.77</v>
      </c>
    </row>
    <row r="13" spans="1:12" s="14" customFormat="1" x14ac:dyDescent="0.2">
      <c r="A13" s="14" t="s">
        <v>78</v>
      </c>
      <c r="B13" s="15">
        <v>5169.32</v>
      </c>
      <c r="C13" s="65"/>
      <c r="D13" s="15"/>
      <c r="E13" s="15"/>
      <c r="F13" s="15">
        <f t="shared" si="0"/>
        <v>5169.32</v>
      </c>
      <c r="G13" s="16"/>
      <c r="H13" s="15">
        <v>5215.17</v>
      </c>
      <c r="I13" s="65"/>
      <c r="J13" s="15"/>
      <c r="K13" s="15"/>
      <c r="L13" s="15">
        <f t="shared" si="1"/>
        <v>5215.17</v>
      </c>
    </row>
    <row r="14" spans="1:12" s="14" customFormat="1" x14ac:dyDescent="0.2">
      <c r="A14" s="189" t="s">
        <v>117</v>
      </c>
      <c r="B14" s="192">
        <v>6173158.2699999996</v>
      </c>
      <c r="C14" s="193">
        <v>243038.88</v>
      </c>
      <c r="D14" s="192">
        <v>741757.5</v>
      </c>
      <c r="E14" s="192"/>
      <c r="F14" s="192">
        <f t="shared" si="0"/>
        <v>7157954.6499999994</v>
      </c>
      <c r="G14" s="16"/>
      <c r="H14" s="192">
        <v>5692571.6100000003</v>
      </c>
      <c r="I14" s="193">
        <v>242594.19</v>
      </c>
      <c r="J14" s="192">
        <v>747157.5</v>
      </c>
      <c r="K14" s="192"/>
      <c r="L14" s="192">
        <f t="shared" si="1"/>
        <v>6682323.3000000007</v>
      </c>
    </row>
    <row r="15" spans="1:12" s="14" customFormat="1" x14ac:dyDescent="0.2">
      <c r="A15" s="14" t="s">
        <v>7</v>
      </c>
      <c r="B15" s="15">
        <f>55173.5+8350.16+425175.64</f>
        <v>488699.30000000005</v>
      </c>
      <c r="D15" s="17"/>
      <c r="E15" s="15">
        <v>1500000</v>
      </c>
      <c r="F15" s="15">
        <f t="shared" si="0"/>
        <v>1988699.3</v>
      </c>
      <c r="G15" s="16">
        <f t="shared" ref="G15:G25" si="2">SUM(C15:F15)</f>
        <v>3488699.3</v>
      </c>
      <c r="H15" s="15">
        <f>193139.68+8517.6+430947.02</f>
        <v>632604.30000000005</v>
      </c>
      <c r="J15" s="17"/>
      <c r="K15" s="15">
        <v>1500000</v>
      </c>
      <c r="L15" s="15">
        <f t="shared" si="1"/>
        <v>2132604.2999999998</v>
      </c>
    </row>
    <row r="16" spans="1:12" s="14" customFormat="1" x14ac:dyDescent="0.2">
      <c r="A16" s="189" t="s">
        <v>8</v>
      </c>
      <c r="B16" s="192">
        <f>2082585.12+4280.47</f>
        <v>2086865.59</v>
      </c>
      <c r="C16" s="189"/>
      <c r="D16" s="192"/>
      <c r="E16" s="192">
        <v>1000000</v>
      </c>
      <c r="F16" s="192">
        <f t="shared" si="0"/>
        <v>3086865.59</v>
      </c>
      <c r="G16" s="16">
        <f t="shared" si="2"/>
        <v>4086865.59</v>
      </c>
      <c r="H16" s="192">
        <f>2353144.28+4375.06</f>
        <v>2357519.34</v>
      </c>
      <c r="I16" s="189"/>
      <c r="J16" s="192"/>
      <c r="K16" s="192">
        <v>1000000</v>
      </c>
      <c r="L16" s="192">
        <f t="shared" si="1"/>
        <v>3357519.34</v>
      </c>
    </row>
    <row r="17" spans="1:15" s="14" customFormat="1" x14ac:dyDescent="0.2">
      <c r="A17" s="14" t="s">
        <v>9</v>
      </c>
      <c r="B17" s="15">
        <v>1353862.23</v>
      </c>
      <c r="D17" s="15"/>
      <c r="E17" s="15"/>
      <c r="F17" s="15">
        <f t="shared" si="0"/>
        <v>1353862.23</v>
      </c>
      <c r="G17" s="16">
        <f t="shared" si="2"/>
        <v>1353862.23</v>
      </c>
      <c r="H17" s="15">
        <v>2416351.2799999998</v>
      </c>
      <c r="J17" s="15"/>
      <c r="K17" s="15"/>
      <c r="L17" s="15">
        <f t="shared" si="1"/>
        <v>2416351.2799999998</v>
      </c>
    </row>
    <row r="18" spans="1:15" s="14" customFormat="1" x14ac:dyDescent="0.2">
      <c r="A18" s="189" t="s">
        <v>10</v>
      </c>
      <c r="B18" s="192">
        <v>74010.820000000007</v>
      </c>
      <c r="C18" s="189"/>
      <c r="D18" s="194"/>
      <c r="E18" s="192"/>
      <c r="F18" s="192">
        <f t="shared" si="0"/>
        <v>74010.820000000007</v>
      </c>
      <c r="G18" s="16">
        <f t="shared" si="2"/>
        <v>74010.820000000007</v>
      </c>
      <c r="H18" s="192">
        <v>75523.61</v>
      </c>
      <c r="I18" s="189"/>
      <c r="J18" s="194"/>
      <c r="K18" s="192"/>
      <c r="L18" s="192">
        <f t="shared" si="1"/>
        <v>75523.61</v>
      </c>
    </row>
    <row r="19" spans="1:15" s="14" customFormat="1" x14ac:dyDescent="0.2">
      <c r="A19" s="14" t="s">
        <v>11</v>
      </c>
      <c r="B19" s="15">
        <v>1573550.73</v>
      </c>
      <c r="D19" s="18"/>
      <c r="E19" s="15"/>
      <c r="F19" s="15">
        <f t="shared" si="0"/>
        <v>1573550.73</v>
      </c>
      <c r="G19" s="16">
        <f t="shared" si="2"/>
        <v>1573550.73</v>
      </c>
      <c r="H19" s="15">
        <v>1692166.48</v>
      </c>
      <c r="J19" s="18"/>
      <c r="K19" s="15"/>
      <c r="L19" s="15">
        <f t="shared" si="1"/>
        <v>1692166.48</v>
      </c>
    </row>
    <row r="20" spans="1:15" s="14" customFormat="1" x14ac:dyDescent="0.2">
      <c r="A20" s="189" t="s">
        <v>12</v>
      </c>
      <c r="B20" s="192">
        <v>180240.99</v>
      </c>
      <c r="C20" s="189"/>
      <c r="D20" s="192"/>
      <c r="E20" s="192"/>
      <c r="F20" s="192">
        <f t="shared" si="0"/>
        <v>180240.99</v>
      </c>
      <c r="G20" s="16">
        <f t="shared" si="2"/>
        <v>180240.99</v>
      </c>
      <c r="H20" s="192">
        <v>164847.14000000001</v>
      </c>
      <c r="I20" s="189"/>
      <c r="J20" s="192"/>
      <c r="K20" s="192"/>
      <c r="L20" s="192">
        <f t="shared" si="1"/>
        <v>164847.14000000001</v>
      </c>
    </row>
    <row r="21" spans="1:15" s="14" customFormat="1" x14ac:dyDescent="0.2">
      <c r="A21" s="14" t="s">
        <v>13</v>
      </c>
      <c r="B21" s="15">
        <v>35031.71</v>
      </c>
      <c r="D21" s="15"/>
      <c r="E21" s="15"/>
      <c r="F21" s="15">
        <f t="shared" si="0"/>
        <v>35031.71</v>
      </c>
      <c r="G21" s="16">
        <f t="shared" si="2"/>
        <v>35031.71</v>
      </c>
      <c r="H21" s="15">
        <v>454293.72</v>
      </c>
      <c r="J21" s="15"/>
      <c r="K21" s="15"/>
      <c r="L21" s="15">
        <f t="shared" si="1"/>
        <v>454293.72</v>
      </c>
    </row>
    <row r="22" spans="1:15" s="14" customFormat="1" x14ac:dyDescent="0.2">
      <c r="A22" s="189" t="s">
        <v>92</v>
      </c>
      <c r="B22" s="192">
        <v>1078632.06</v>
      </c>
      <c r="C22" s="189"/>
      <c r="D22" s="192"/>
      <c r="E22" s="192"/>
      <c r="F22" s="192">
        <f t="shared" si="0"/>
        <v>1078632.06</v>
      </c>
      <c r="G22" s="16">
        <f t="shared" si="2"/>
        <v>1078632.06</v>
      </c>
      <c r="H22" s="192">
        <v>1088308.55</v>
      </c>
      <c r="I22" s="189"/>
      <c r="J22" s="192"/>
      <c r="K22" s="192"/>
      <c r="L22" s="192">
        <f t="shared" si="1"/>
        <v>1088308.55</v>
      </c>
    </row>
    <row r="23" spans="1:15" s="14" customFormat="1" x14ac:dyDescent="0.2">
      <c r="A23" s="14" t="s">
        <v>14</v>
      </c>
      <c r="B23" s="15">
        <v>3019351.48</v>
      </c>
      <c r="D23" s="15"/>
      <c r="E23" s="15"/>
      <c r="F23" s="15">
        <f t="shared" si="0"/>
        <v>3019351.48</v>
      </c>
      <c r="G23" s="16">
        <f t="shared" si="2"/>
        <v>3019351.48</v>
      </c>
      <c r="H23" s="15">
        <v>3295894.73</v>
      </c>
      <c r="J23" s="15"/>
      <c r="K23" s="15"/>
      <c r="L23" s="15">
        <f t="shared" si="1"/>
        <v>3295894.73</v>
      </c>
    </row>
    <row r="24" spans="1:15" s="14" customFormat="1" x14ac:dyDescent="0.2">
      <c r="A24" s="189" t="s">
        <v>15</v>
      </c>
      <c r="B24" s="192">
        <v>17672775.329999998</v>
      </c>
      <c r="C24" s="189"/>
      <c r="D24" s="192"/>
      <c r="E24" s="192"/>
      <c r="F24" s="192">
        <f t="shared" si="0"/>
        <v>17672775.329999998</v>
      </c>
      <c r="G24" s="16">
        <f t="shared" si="2"/>
        <v>17672775.329999998</v>
      </c>
      <c r="H24" s="192">
        <v>14744533.609999999</v>
      </c>
      <c r="I24" s="189"/>
      <c r="J24" s="192"/>
      <c r="K24" s="192"/>
      <c r="L24" s="192">
        <f t="shared" si="1"/>
        <v>14744533.609999999</v>
      </c>
    </row>
    <row r="25" spans="1:15" x14ac:dyDescent="0.2">
      <c r="B25" s="19"/>
      <c r="C25"/>
      <c r="D25" s="19"/>
      <c r="E25" s="3"/>
      <c r="F25"/>
      <c r="G25" s="16">
        <f t="shared" si="2"/>
        <v>0</v>
      </c>
      <c r="H25" s="19"/>
      <c r="I25"/>
      <c r="J25" s="19"/>
      <c r="L25"/>
    </row>
    <row r="26" spans="1:15" s="14" customFormat="1" x14ac:dyDescent="0.2">
      <c r="A26" s="22" t="s">
        <v>4</v>
      </c>
      <c r="B26" s="195">
        <f>SUM(B10:B25)</f>
        <v>74768321.159999996</v>
      </c>
      <c r="C26" s="196">
        <f>SUM(C10:C25)</f>
        <v>3629764.209999999</v>
      </c>
      <c r="D26" s="195">
        <f>SUM(D10:D25)</f>
        <v>4133753.13</v>
      </c>
      <c r="E26" s="197">
        <f>SUM(E10:E25)</f>
        <v>27500000</v>
      </c>
      <c r="F26" s="198">
        <f>SUM(F10:F25)</f>
        <v>110031838.49999999</v>
      </c>
      <c r="G26" s="199">
        <f t="shared" ref="G26" si="3">SUM(G10:G25)</f>
        <v>123676618.50999999</v>
      </c>
      <c r="H26" s="195">
        <f>SUM(H10:H25)</f>
        <v>75557119.499999985</v>
      </c>
      <c r="I26" s="196">
        <f>SUM(I10:I25)</f>
        <v>2684061.54</v>
      </c>
      <c r="J26" s="195">
        <f>SUM(J10:J25)</f>
        <v>6155192.7800000003</v>
      </c>
      <c r="K26" s="197">
        <f>SUM(K10:K25)</f>
        <v>12500000</v>
      </c>
      <c r="L26" s="198">
        <f>SUM(L10:L25)</f>
        <v>96896373.820000023</v>
      </c>
      <c r="M26" s="106"/>
    </row>
    <row r="27" spans="1:15" x14ac:dyDescent="0.2">
      <c r="B27" s="3"/>
      <c r="C27" s="3"/>
      <c r="D27" s="3"/>
      <c r="E27" s="3"/>
      <c r="F27" s="3"/>
      <c r="G27" s="9"/>
    </row>
    <row r="28" spans="1:15" x14ac:dyDescent="0.2">
      <c r="A28" t="s">
        <v>16</v>
      </c>
      <c r="B28" s="3"/>
      <c r="C28" s="3"/>
      <c r="D28" s="3"/>
      <c r="E28" s="3"/>
      <c r="F28" s="3" t="s">
        <v>0</v>
      </c>
      <c r="G28" s="9"/>
      <c r="H28" s="3">
        <f>SUM(H26-B26)</f>
        <v>788798.33999998868</v>
      </c>
      <c r="I28" s="3">
        <f>SUM(I26-C26)</f>
        <v>-945702.66999999899</v>
      </c>
      <c r="J28" s="3">
        <f>SUM(J26-D26)</f>
        <v>2021439.6500000004</v>
      </c>
      <c r="K28" s="3">
        <f>SUM(K26-E26)</f>
        <v>-15000000</v>
      </c>
      <c r="L28" s="3">
        <f>SUM(H28:K28)</f>
        <v>-13135464.680000011</v>
      </c>
    </row>
    <row r="29" spans="1:15" x14ac:dyDescent="0.2">
      <c r="B29" s="3"/>
      <c r="C29" s="19"/>
      <c r="D29" s="3"/>
      <c r="E29" s="3"/>
      <c r="F29" s="3"/>
      <c r="G29" s="9"/>
      <c r="L29"/>
      <c r="O29" s="204"/>
    </row>
    <row r="30" spans="1:15" x14ac:dyDescent="0.2">
      <c r="B30" s="3"/>
      <c r="C30" s="3"/>
      <c r="D30" s="3"/>
      <c r="E30" s="3"/>
      <c r="F30" s="3"/>
      <c r="G30" s="20"/>
    </row>
    <row r="31" spans="1:15" x14ac:dyDescent="0.2">
      <c r="B31" s="3"/>
      <c r="C31" s="3"/>
      <c r="D31" s="3"/>
      <c r="E31" s="3"/>
      <c r="F31" s="3"/>
      <c r="G31" s="20"/>
    </row>
    <row r="32" spans="1:15" x14ac:dyDescent="0.2">
      <c r="B32" s="3"/>
      <c r="C32" s="3"/>
      <c r="D32" s="3"/>
      <c r="E32" s="3"/>
      <c r="F32" s="3"/>
      <c r="G32" s="20"/>
    </row>
    <row r="33" spans="2:12" x14ac:dyDescent="0.2">
      <c r="B33" s="3"/>
      <c r="C33" s="3"/>
      <c r="D33" s="3"/>
      <c r="E33" s="3"/>
      <c r="F33" s="3"/>
      <c r="G33" s="20"/>
      <c r="K33" s="3" t="s">
        <v>88</v>
      </c>
    </row>
    <row r="34" spans="2:12" x14ac:dyDescent="0.2">
      <c r="B34" s="3"/>
      <c r="C34" s="3"/>
      <c r="D34" s="3"/>
      <c r="E34" s="3" t="s">
        <v>113</v>
      </c>
      <c r="F34" s="3"/>
      <c r="G34" s="20"/>
      <c r="K34" s="3" t="s">
        <v>114</v>
      </c>
    </row>
    <row r="35" spans="2:12" x14ac:dyDescent="0.2">
      <c r="B35" s="3"/>
      <c r="C35" s="3"/>
      <c r="D35" s="3"/>
      <c r="E35" s="3" t="s">
        <v>224</v>
      </c>
      <c r="F35" s="3"/>
      <c r="G35" s="20"/>
      <c r="K35" s="3" t="s">
        <v>225</v>
      </c>
    </row>
    <row r="36" spans="2:12" x14ac:dyDescent="0.2">
      <c r="B36" s="3"/>
      <c r="C36" s="3"/>
      <c r="D36" s="3"/>
      <c r="E36" s="3" t="s">
        <v>86</v>
      </c>
      <c r="F36" s="3"/>
      <c r="G36" s="20"/>
      <c r="K36" s="3" t="s">
        <v>84</v>
      </c>
    </row>
    <row r="37" spans="2:12" x14ac:dyDescent="0.2">
      <c r="B37" s="3"/>
      <c r="C37" s="3"/>
      <c r="D37" s="3"/>
      <c r="E37" s="3" t="s">
        <v>87</v>
      </c>
      <c r="F37" s="3"/>
      <c r="G37" s="20"/>
      <c r="K37" s="3" t="s">
        <v>85</v>
      </c>
    </row>
    <row r="38" spans="2:12" x14ac:dyDescent="0.2">
      <c r="B38" s="3"/>
      <c r="C38" s="3"/>
      <c r="D38" s="3"/>
      <c r="E38" s="3"/>
      <c r="F38" s="3"/>
      <c r="G38" s="20"/>
    </row>
    <row r="39" spans="2:12" x14ac:dyDescent="0.2">
      <c r="B39" s="3"/>
      <c r="C39" s="3"/>
      <c r="D39" s="3"/>
      <c r="E39" s="3"/>
      <c r="F39" s="3"/>
      <c r="G39" s="20"/>
    </row>
    <row r="40" spans="2:12" x14ac:dyDescent="0.2">
      <c r="B40" s="3"/>
      <c r="C40" s="3"/>
      <c r="D40" s="3"/>
      <c r="E40" s="3"/>
      <c r="F40" s="3"/>
      <c r="G40" s="20"/>
    </row>
    <row r="41" spans="2:12" x14ac:dyDescent="0.2">
      <c r="B41" s="3"/>
      <c r="C41" s="3"/>
      <c r="D41" s="3"/>
      <c r="E41" s="3"/>
      <c r="F41" s="3"/>
      <c r="G41" s="20"/>
      <c r="L41" s="3" t="s">
        <v>0</v>
      </c>
    </row>
    <row r="42" spans="2:12" x14ac:dyDescent="0.2">
      <c r="B42" s="3"/>
      <c r="C42" s="3"/>
      <c r="D42" s="3"/>
      <c r="E42" s="3"/>
      <c r="F42" s="3"/>
      <c r="L42"/>
    </row>
    <row r="43" spans="2:12" x14ac:dyDescent="0.2">
      <c r="B43" s="3"/>
      <c r="C43" s="3"/>
      <c r="D43" s="3"/>
      <c r="E43" s="3"/>
      <c r="F43" s="3"/>
      <c r="K43"/>
      <c r="L43"/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</row>
    <row r="46" spans="2:12" x14ac:dyDescent="0.2">
      <c r="B46" s="3"/>
      <c r="C46" s="3"/>
      <c r="D46" s="3"/>
      <c r="E46" s="3"/>
      <c r="F46" s="3"/>
    </row>
    <row r="47" spans="2:12" x14ac:dyDescent="0.2">
      <c r="F47" s="3"/>
    </row>
    <row r="78" spans="7:7" x14ac:dyDescent="0.2">
      <c r="G78"/>
    </row>
    <row r="79" spans="7:7" x14ac:dyDescent="0.2">
      <c r="G79"/>
    </row>
    <row r="80" spans="7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</sheetData>
  <phoneticPr fontId="5" type="noConversion"/>
  <pageMargins left="0.5" right="0.25" top="1.25" bottom="0.5" header="0.5" footer="0.5"/>
  <pageSetup paperSize="5" scale="90" orientation="landscape" useFirstPageNumber="1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M173"/>
  <sheetViews>
    <sheetView showGridLines="0" showRuler="0" zoomScale="114" zoomScaleNormal="114" zoomScaleSheetLayoutView="100" zoomScalePageLayoutView="145" workbookViewId="0">
      <pane ySplit="5" topLeftCell="A6" activePane="bottomLeft" state="frozen"/>
      <selection pane="bottomLeft" activeCell="V33" sqref="V33"/>
    </sheetView>
  </sheetViews>
  <sheetFormatPr defaultRowHeight="12.75" x14ac:dyDescent="0.2"/>
  <cols>
    <col min="1" max="1" width="19.140625" customWidth="1"/>
    <col min="2" max="2" width="8.7109375" style="68" bestFit="1" customWidth="1"/>
    <col min="3" max="3" width="20.140625" style="77" customWidth="1"/>
    <col min="4" max="4" width="5.28515625" style="128" customWidth="1"/>
    <col min="5" max="5" width="11.140625" customWidth="1"/>
    <col min="6" max="6" width="10.28515625" style="21" customWidth="1"/>
    <col min="7" max="7" width="14" style="85" customWidth="1"/>
    <col min="8" max="8" width="14" style="88" customWidth="1"/>
    <col min="9" max="9" width="14" style="87" customWidth="1"/>
    <col min="10" max="10" width="13.28515625" style="85" customWidth="1"/>
    <col min="11" max="11" width="12.5703125" style="90" customWidth="1"/>
    <col min="12" max="12" width="12.140625" style="90" customWidth="1"/>
    <col min="13" max="13" width="9.140625" style="90" customWidth="1"/>
    <col min="14" max="14" width="14.28515625" style="90" bestFit="1" customWidth="1"/>
    <col min="15" max="15" width="12.42578125" style="85" bestFit="1" customWidth="1"/>
    <col min="16" max="16" width="13.7109375" style="85" customWidth="1"/>
    <col min="17" max="17" width="13.28515625" style="85" customWidth="1"/>
    <col min="18" max="22" width="8.85546875"/>
    <col min="23" max="23" width="12.85546875" bestFit="1" customWidth="1"/>
    <col min="24" max="117" width="8.85546875"/>
  </cols>
  <sheetData>
    <row r="1" spans="1:117" x14ac:dyDescent="0.2">
      <c r="A1" s="282" t="s">
        <v>253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</row>
    <row r="2" spans="1:117" ht="10.5" customHeight="1" x14ac:dyDescent="0.2">
      <c r="L2" s="274" t="s">
        <v>248</v>
      </c>
      <c r="M2" s="277" t="s">
        <v>251</v>
      </c>
      <c r="N2" s="221"/>
    </row>
    <row r="3" spans="1:117" s="22" customFormat="1" ht="10.5" customHeight="1" x14ac:dyDescent="0.2">
      <c r="B3" s="74"/>
      <c r="C3" s="75"/>
      <c r="D3" s="141"/>
      <c r="F3" s="23"/>
      <c r="G3" s="105"/>
      <c r="H3" s="135"/>
      <c r="I3" s="130"/>
      <c r="J3" s="105" t="s">
        <v>207</v>
      </c>
      <c r="K3" s="129"/>
      <c r="L3" s="275"/>
      <c r="M3" s="278"/>
      <c r="N3" s="222"/>
      <c r="O3" s="105" t="s">
        <v>115</v>
      </c>
      <c r="P3" s="105" t="s">
        <v>206</v>
      </c>
      <c r="Q3" s="105" t="s">
        <v>207</v>
      </c>
      <c r="R3" s="105" t="s">
        <v>208</v>
      </c>
    </row>
    <row r="4" spans="1:117" s="22" customFormat="1" ht="10.5" customHeight="1" x14ac:dyDescent="0.2">
      <c r="A4" s="22" t="s">
        <v>17</v>
      </c>
      <c r="B4" s="74"/>
      <c r="C4" s="75" t="s">
        <v>18</v>
      </c>
      <c r="D4" s="141" t="s">
        <v>105</v>
      </c>
      <c r="E4" s="22" t="s">
        <v>19</v>
      </c>
      <c r="F4" s="23" t="s">
        <v>20</v>
      </c>
      <c r="G4" s="73" t="s">
        <v>21</v>
      </c>
      <c r="H4" s="127" t="s">
        <v>22</v>
      </c>
      <c r="I4" s="127" t="s">
        <v>23</v>
      </c>
      <c r="J4" s="105" t="s">
        <v>24</v>
      </c>
      <c r="K4" s="129" t="s">
        <v>74</v>
      </c>
      <c r="L4" s="275"/>
      <c r="M4" s="278"/>
      <c r="N4" s="280" t="s">
        <v>243</v>
      </c>
      <c r="O4" s="105" t="s">
        <v>24</v>
      </c>
      <c r="P4" s="105" t="s">
        <v>24</v>
      </c>
      <c r="Q4" s="105" t="s">
        <v>24</v>
      </c>
      <c r="R4" s="105" t="s">
        <v>24</v>
      </c>
    </row>
    <row r="5" spans="1:117" s="24" customFormat="1" ht="10.5" customHeight="1" x14ac:dyDescent="0.2">
      <c r="B5" s="131"/>
      <c r="C5" s="76" t="s">
        <v>25</v>
      </c>
      <c r="D5" s="142" t="s">
        <v>106</v>
      </c>
      <c r="E5" s="24" t="s">
        <v>26</v>
      </c>
      <c r="F5" s="25" t="s">
        <v>27</v>
      </c>
      <c r="G5" s="132" t="s">
        <v>28</v>
      </c>
      <c r="H5" s="136"/>
      <c r="I5" s="137"/>
      <c r="J5" s="133" t="s">
        <v>29</v>
      </c>
      <c r="K5" s="134" t="s">
        <v>29</v>
      </c>
      <c r="L5" s="276"/>
      <c r="M5" s="279"/>
      <c r="N5" s="281"/>
      <c r="O5" s="133" t="s">
        <v>29</v>
      </c>
      <c r="P5" s="133" t="s">
        <v>29</v>
      </c>
      <c r="Q5" s="133" t="s">
        <v>29</v>
      </c>
      <c r="R5" s="133" t="s">
        <v>29</v>
      </c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</row>
    <row r="6" spans="1:117" ht="14.25" customHeight="1" x14ac:dyDescent="0.2">
      <c r="A6" s="22" t="s">
        <v>226</v>
      </c>
      <c r="C6" s="145" t="s">
        <v>111</v>
      </c>
      <c r="D6" s="159">
        <v>4.5856000000000003</v>
      </c>
      <c r="E6" s="145"/>
      <c r="F6" s="160">
        <v>45473</v>
      </c>
      <c r="G6" s="161">
        <v>4298973.3899999997</v>
      </c>
      <c r="H6" s="161">
        <f t="shared" ref="H6:I10" si="0">SUM(G6)</f>
        <v>4298973.3899999997</v>
      </c>
      <c r="I6" s="161">
        <f t="shared" si="0"/>
        <v>4298973.3899999997</v>
      </c>
      <c r="J6" s="125">
        <f>SUM(B26)</f>
        <v>116742.79000000001</v>
      </c>
      <c r="K6" s="120">
        <f>SUM(J6+O6+P6+Q6)</f>
        <v>394360.45</v>
      </c>
      <c r="L6" s="259"/>
      <c r="M6" s="260"/>
      <c r="N6" s="261"/>
      <c r="O6" s="125">
        <v>78388.27</v>
      </c>
      <c r="P6" s="125">
        <v>199229.39</v>
      </c>
      <c r="Q6" s="125"/>
      <c r="R6" s="125"/>
    </row>
    <row r="7" spans="1:117" ht="14.25" customHeight="1" x14ac:dyDescent="0.2">
      <c r="C7" s="77" t="s">
        <v>102</v>
      </c>
      <c r="D7" s="102">
        <v>5.3120000000000003</v>
      </c>
      <c r="F7" s="27">
        <v>45473</v>
      </c>
      <c r="G7" s="84">
        <v>800</v>
      </c>
      <c r="H7" s="84">
        <f t="shared" si="0"/>
        <v>800</v>
      </c>
      <c r="I7" s="84">
        <f t="shared" si="0"/>
        <v>800</v>
      </c>
      <c r="J7" s="84">
        <v>1084.43</v>
      </c>
      <c r="K7" s="90">
        <f t="shared" ref="K7:K10" si="1">SUM(J7+O7+P7+Q7)</f>
        <v>22670.410000000003</v>
      </c>
      <c r="L7" s="259"/>
      <c r="M7" s="260"/>
      <c r="N7" s="261"/>
      <c r="O7" s="84">
        <v>12511.19</v>
      </c>
      <c r="P7" s="84">
        <v>9074.7900000000009</v>
      </c>
      <c r="Q7" s="84"/>
    </row>
    <row r="8" spans="1:117" ht="14.25" customHeight="1" x14ac:dyDescent="0.2">
      <c r="A8" s="123" t="s">
        <v>143</v>
      </c>
      <c r="B8" s="82">
        <v>1598.64</v>
      </c>
      <c r="C8" s="145" t="s">
        <v>103</v>
      </c>
      <c r="D8" s="159">
        <v>5.46</v>
      </c>
      <c r="E8" s="145"/>
      <c r="F8" s="160">
        <v>45473</v>
      </c>
      <c r="G8" s="161">
        <v>10000000</v>
      </c>
      <c r="H8" s="161">
        <f t="shared" si="0"/>
        <v>10000000</v>
      </c>
      <c r="I8" s="161">
        <f t="shared" si="0"/>
        <v>10000000</v>
      </c>
      <c r="J8" s="161">
        <v>230580.1</v>
      </c>
      <c r="K8" s="162">
        <f t="shared" si="1"/>
        <v>574529.28000000003</v>
      </c>
      <c r="L8" s="259"/>
      <c r="M8" s="260"/>
      <c r="N8" s="261"/>
      <c r="O8" s="84">
        <v>121907.34</v>
      </c>
      <c r="P8" s="84">
        <v>222041.84</v>
      </c>
      <c r="Q8" s="84"/>
    </row>
    <row r="9" spans="1:117" ht="14.25" customHeight="1" x14ac:dyDescent="0.2">
      <c r="A9" s="123" t="s">
        <v>144</v>
      </c>
      <c r="B9" s="82">
        <v>5559.79</v>
      </c>
      <c r="C9" s="77" t="s">
        <v>128</v>
      </c>
      <c r="D9" s="102">
        <v>5.31</v>
      </c>
      <c r="E9" t="s">
        <v>165</v>
      </c>
      <c r="F9" s="27">
        <v>45473</v>
      </c>
      <c r="G9" s="84">
        <v>5081072.6100000003</v>
      </c>
      <c r="H9" s="84">
        <f t="shared" si="0"/>
        <v>5081072.6100000003</v>
      </c>
      <c r="I9" s="84">
        <f t="shared" si="0"/>
        <v>5081072.6100000003</v>
      </c>
      <c r="J9" s="84">
        <v>5728.63</v>
      </c>
      <c r="K9" s="90">
        <f t="shared" si="1"/>
        <v>7587.42</v>
      </c>
      <c r="L9" s="259"/>
      <c r="M9" s="260"/>
      <c r="N9" s="261"/>
      <c r="O9" s="84">
        <v>1579.66</v>
      </c>
      <c r="P9" s="84">
        <v>279.13</v>
      </c>
      <c r="Q9" s="84"/>
    </row>
    <row r="10" spans="1:117" ht="14.25" customHeight="1" x14ac:dyDescent="0.2">
      <c r="A10" s="123" t="s">
        <v>145</v>
      </c>
      <c r="B10" s="82">
        <v>0.57999999999999996</v>
      </c>
      <c r="C10" s="145" t="s">
        <v>230</v>
      </c>
      <c r="D10" s="159">
        <v>5.44</v>
      </c>
      <c r="E10" s="145" t="s">
        <v>165</v>
      </c>
      <c r="F10" s="160">
        <v>45473</v>
      </c>
      <c r="G10" s="164">
        <v>23402.799999999999</v>
      </c>
      <c r="H10" s="161">
        <f t="shared" si="0"/>
        <v>23402.799999999999</v>
      </c>
      <c r="I10" s="161">
        <f t="shared" si="0"/>
        <v>23402.799999999999</v>
      </c>
      <c r="J10" s="164">
        <v>1600.23</v>
      </c>
      <c r="K10" s="162">
        <f t="shared" si="1"/>
        <v>1600.23</v>
      </c>
      <c r="L10" s="259"/>
      <c r="M10" s="260"/>
      <c r="N10" s="261"/>
      <c r="O10" s="85">
        <v>0</v>
      </c>
    </row>
    <row r="11" spans="1:117" ht="14.25" customHeight="1" x14ac:dyDescent="0.2">
      <c r="A11" s="123" t="s">
        <v>147</v>
      </c>
      <c r="B11" s="82">
        <v>57.25</v>
      </c>
      <c r="C11" s="77" t="s">
        <v>134</v>
      </c>
      <c r="D11" s="102">
        <v>0</v>
      </c>
      <c r="E11" t="s">
        <v>0</v>
      </c>
      <c r="F11" s="27">
        <v>45473</v>
      </c>
      <c r="G11" s="84">
        <v>0</v>
      </c>
      <c r="H11" s="84">
        <v>0</v>
      </c>
      <c r="I11" s="84">
        <v>0</v>
      </c>
      <c r="J11" s="84">
        <v>712.92</v>
      </c>
      <c r="K11" s="90">
        <f t="shared" ref="K11:K34" si="2">SUM(J11+O11+P11+Q11)</f>
        <v>4685.2</v>
      </c>
      <c r="L11" s="259"/>
      <c r="M11" s="260"/>
      <c r="N11" s="261"/>
      <c r="O11" s="84">
        <v>85.75</v>
      </c>
      <c r="P11" s="84">
        <v>3886.53</v>
      </c>
      <c r="Q11" s="84"/>
    </row>
    <row r="12" spans="1:117" ht="14.25" customHeight="1" x14ac:dyDescent="0.2">
      <c r="A12" s="123" t="s">
        <v>146</v>
      </c>
      <c r="B12" s="82">
        <v>54.38</v>
      </c>
      <c r="C12" s="145" t="s">
        <v>222</v>
      </c>
      <c r="D12" s="159">
        <v>5.4278000000000004</v>
      </c>
      <c r="E12" s="145" t="s">
        <v>227</v>
      </c>
      <c r="F12" s="160">
        <v>45473</v>
      </c>
      <c r="G12" s="161">
        <v>10041600.59</v>
      </c>
      <c r="H12" s="161">
        <v>10041600.59</v>
      </c>
      <c r="I12" s="161">
        <v>10041600.59</v>
      </c>
      <c r="J12" s="161">
        <v>41600.589999999997</v>
      </c>
      <c r="K12" s="162">
        <f t="shared" si="2"/>
        <v>41600.589999999997</v>
      </c>
      <c r="L12" s="259"/>
      <c r="M12" s="260"/>
      <c r="N12" s="261"/>
      <c r="O12" s="84">
        <v>0</v>
      </c>
      <c r="P12" s="84"/>
      <c r="Q12" s="84"/>
    </row>
    <row r="13" spans="1:117" ht="14.25" customHeight="1" x14ac:dyDescent="0.2">
      <c r="A13" s="123" t="s">
        <v>148</v>
      </c>
      <c r="B13" s="82">
        <v>1.68</v>
      </c>
      <c r="C13" s="77" t="s">
        <v>164</v>
      </c>
      <c r="D13" s="209">
        <v>5.25</v>
      </c>
      <c r="E13" s="77" t="s">
        <v>165</v>
      </c>
      <c r="F13" s="212">
        <v>45408</v>
      </c>
      <c r="G13" s="211" t="s">
        <v>0</v>
      </c>
      <c r="H13" s="87"/>
      <c r="J13" s="87">
        <v>35859.39</v>
      </c>
      <c r="K13" s="91">
        <f t="shared" si="2"/>
        <v>298360.08</v>
      </c>
      <c r="L13" s="259">
        <v>517827.87</v>
      </c>
      <c r="M13" s="260" t="s">
        <v>236</v>
      </c>
      <c r="N13" s="261">
        <v>10000000</v>
      </c>
      <c r="O13" s="84">
        <v>131967.56</v>
      </c>
      <c r="P13" s="84">
        <v>130533.13</v>
      </c>
      <c r="Q13" s="84"/>
    </row>
    <row r="14" spans="1:117" ht="14.25" customHeight="1" x14ac:dyDescent="0.2">
      <c r="A14" s="123" t="s">
        <v>149</v>
      </c>
      <c r="B14" s="82">
        <v>187.75</v>
      </c>
      <c r="C14" s="145" t="s">
        <v>164</v>
      </c>
      <c r="D14" s="159">
        <v>5.39</v>
      </c>
      <c r="E14" s="145" t="s">
        <v>165</v>
      </c>
      <c r="F14" s="160">
        <v>45426</v>
      </c>
      <c r="G14" s="161"/>
      <c r="H14" s="161"/>
      <c r="I14" s="161"/>
      <c r="J14" s="161">
        <v>63325</v>
      </c>
      <c r="K14" s="162">
        <f t="shared" si="2"/>
        <v>144322.4</v>
      </c>
      <c r="L14" s="259">
        <v>144322.4</v>
      </c>
      <c r="M14" s="260" t="s">
        <v>238</v>
      </c>
      <c r="N14" s="261">
        <v>10000000</v>
      </c>
      <c r="O14" s="84">
        <v>0</v>
      </c>
      <c r="P14" s="84">
        <v>80997.399999999994</v>
      </c>
      <c r="Q14" s="84"/>
    </row>
    <row r="15" spans="1:117" ht="14.25" customHeight="1" x14ac:dyDescent="0.2">
      <c r="A15" s="123" t="s">
        <v>250</v>
      </c>
      <c r="B15" s="82">
        <v>16123.69</v>
      </c>
      <c r="C15" s="77" t="s">
        <v>164</v>
      </c>
      <c r="D15" s="209">
        <v>5.38</v>
      </c>
      <c r="E15" s="77" t="s">
        <v>165</v>
      </c>
      <c r="F15" s="212">
        <v>45467</v>
      </c>
      <c r="G15" s="87"/>
      <c r="H15" s="87"/>
      <c r="J15" s="87">
        <v>62643.839999999997</v>
      </c>
      <c r="K15" s="91">
        <f t="shared" si="2"/>
        <v>75909.59</v>
      </c>
      <c r="L15" s="259">
        <v>75909.59</v>
      </c>
      <c r="M15" s="260" t="s">
        <v>239</v>
      </c>
      <c r="N15" s="261">
        <v>5000000</v>
      </c>
      <c r="O15" s="84">
        <v>0</v>
      </c>
      <c r="P15" s="84">
        <v>13265.75</v>
      </c>
      <c r="Q15" s="84"/>
    </row>
    <row r="16" spans="1:117" ht="14.25" customHeight="1" x14ac:dyDescent="0.2">
      <c r="A16" s="123" t="s">
        <v>249</v>
      </c>
      <c r="B16" s="82">
        <v>10399.700000000001</v>
      </c>
      <c r="C16" s="145" t="s">
        <v>164</v>
      </c>
      <c r="D16" s="159">
        <v>5.47</v>
      </c>
      <c r="E16" s="145" t="s">
        <v>165</v>
      </c>
      <c r="F16" s="160">
        <v>45646</v>
      </c>
      <c r="G16" s="161">
        <v>10000000</v>
      </c>
      <c r="H16" s="161">
        <v>10000000</v>
      </c>
      <c r="I16" s="161">
        <v>10000000</v>
      </c>
      <c r="J16" s="161">
        <v>97410.96</v>
      </c>
      <c r="K16" s="162">
        <f t="shared" si="2"/>
        <v>97410.96</v>
      </c>
      <c r="L16" s="259"/>
      <c r="M16" s="260"/>
      <c r="N16" s="261"/>
      <c r="O16" s="84">
        <v>0</v>
      </c>
      <c r="P16" s="84"/>
      <c r="Q16" s="84"/>
    </row>
    <row r="17" spans="1:17" ht="14.25" customHeight="1" x14ac:dyDescent="0.2">
      <c r="A17" s="62" t="s">
        <v>95</v>
      </c>
      <c r="B17" s="69">
        <v>961.16</v>
      </c>
      <c r="C17" s="77" t="s">
        <v>172</v>
      </c>
      <c r="D17" s="209">
        <v>4.95</v>
      </c>
      <c r="E17" s="77" t="s">
        <v>173</v>
      </c>
      <c r="F17" s="210">
        <v>45401</v>
      </c>
      <c r="G17" s="214" t="s">
        <v>0</v>
      </c>
      <c r="H17" s="87"/>
      <c r="I17" s="211"/>
      <c r="J17" s="88">
        <v>579.84</v>
      </c>
      <c r="K17" s="91">
        <f t="shared" si="2"/>
        <v>6487.08</v>
      </c>
      <c r="L17" s="259">
        <v>11748.72</v>
      </c>
      <c r="M17" s="260" t="s">
        <v>237</v>
      </c>
      <c r="N17" s="261">
        <v>238000</v>
      </c>
      <c r="O17" s="85">
        <v>2969.76</v>
      </c>
      <c r="P17" s="84">
        <v>2937.48</v>
      </c>
      <c r="Q17" s="84"/>
    </row>
    <row r="18" spans="1:17" ht="14.25" customHeight="1" x14ac:dyDescent="0.2">
      <c r="A18" s="62" t="s">
        <v>94</v>
      </c>
      <c r="B18" s="82">
        <v>145.43</v>
      </c>
      <c r="C18" s="145" t="s">
        <v>130</v>
      </c>
      <c r="D18" s="159">
        <v>3</v>
      </c>
      <c r="E18" s="165" t="s">
        <v>132</v>
      </c>
      <c r="F18" s="160">
        <v>45432</v>
      </c>
      <c r="G18" s="164"/>
      <c r="H18" s="164"/>
      <c r="I18" s="203"/>
      <c r="J18" s="164">
        <v>990.18</v>
      </c>
      <c r="K18" s="162">
        <f t="shared" si="2"/>
        <v>4690.4400000000005</v>
      </c>
      <c r="L18" s="259">
        <v>14800.44</v>
      </c>
      <c r="M18" s="260" t="s">
        <v>242</v>
      </c>
      <c r="N18" s="261">
        <v>246000</v>
      </c>
      <c r="O18" s="85">
        <v>1860.24</v>
      </c>
      <c r="P18" s="85">
        <v>1840.02</v>
      </c>
      <c r="Q18" s="84"/>
    </row>
    <row r="19" spans="1:17" ht="14.25" customHeight="1" x14ac:dyDescent="0.2">
      <c r="A19" s="62" t="s">
        <v>96</v>
      </c>
      <c r="B19" s="69">
        <v>9719.68</v>
      </c>
      <c r="C19" s="77" t="s">
        <v>176</v>
      </c>
      <c r="D19" s="209">
        <v>5.15</v>
      </c>
      <c r="E19" s="213" t="s">
        <v>174</v>
      </c>
      <c r="F19" s="212">
        <v>45436</v>
      </c>
      <c r="G19" s="88"/>
      <c r="I19" s="211"/>
      <c r="J19" s="88">
        <v>1680.47</v>
      </c>
      <c r="K19" s="91">
        <f t="shared" si="2"/>
        <v>7593.2</v>
      </c>
      <c r="L19" s="259">
        <v>11793.5</v>
      </c>
      <c r="M19" s="260" t="s">
        <v>240</v>
      </c>
      <c r="N19" s="261">
        <v>229000</v>
      </c>
      <c r="O19" s="85">
        <v>2972.52</v>
      </c>
      <c r="P19" s="85">
        <v>2940.21</v>
      </c>
      <c r="Q19" s="84"/>
    </row>
    <row r="20" spans="1:17" ht="14.25" customHeight="1" x14ac:dyDescent="0.2">
      <c r="A20" s="62" t="s">
        <v>101</v>
      </c>
      <c r="B20" s="82">
        <v>14262.08</v>
      </c>
      <c r="C20" s="145" t="s">
        <v>175</v>
      </c>
      <c r="D20" s="159">
        <v>5.2</v>
      </c>
      <c r="E20" s="165" t="s">
        <v>177</v>
      </c>
      <c r="F20" s="160">
        <v>45436</v>
      </c>
      <c r="G20" s="176"/>
      <c r="H20" s="164"/>
      <c r="I20" s="203"/>
      <c r="J20" s="164">
        <v>1735.76</v>
      </c>
      <c r="K20" s="162">
        <f t="shared" si="2"/>
        <v>7732.67</v>
      </c>
      <c r="L20" s="259">
        <v>11992.77</v>
      </c>
      <c r="M20" s="260" t="s">
        <v>241</v>
      </c>
      <c r="N20" s="261">
        <v>230000</v>
      </c>
      <c r="O20" s="85">
        <v>3014.84</v>
      </c>
      <c r="P20" s="85">
        <v>2982.07</v>
      </c>
      <c r="Q20" s="84"/>
    </row>
    <row r="21" spans="1:17" ht="14.25" customHeight="1" x14ac:dyDescent="0.2">
      <c r="A21" s="62" t="s">
        <v>97</v>
      </c>
      <c r="B21" s="82">
        <f>1631.51+14.02</f>
        <v>1645.53</v>
      </c>
      <c r="C21" s="77" t="s">
        <v>140</v>
      </c>
      <c r="D21" s="209">
        <v>3.5</v>
      </c>
      <c r="E21" s="213" t="s">
        <v>139</v>
      </c>
      <c r="F21" s="212">
        <v>45527</v>
      </c>
      <c r="G21" s="88">
        <v>1500000</v>
      </c>
      <c r="H21" s="88">
        <v>1500000</v>
      </c>
      <c r="I21" s="211">
        <v>1494885</v>
      </c>
      <c r="J21" s="88">
        <v>13089.44</v>
      </c>
      <c r="K21" s="91">
        <f t="shared" si="2"/>
        <v>39412.160000000003</v>
      </c>
      <c r="L21" s="259" t="s">
        <v>0</v>
      </c>
      <c r="M21" s="260" t="s">
        <v>0</v>
      </c>
      <c r="N21" s="261"/>
      <c r="O21" s="85">
        <v>13233.28</v>
      </c>
      <c r="P21" s="85">
        <v>13089.44</v>
      </c>
    </row>
    <row r="22" spans="1:17" ht="14.25" customHeight="1" x14ac:dyDescent="0.2">
      <c r="A22" s="62" t="s">
        <v>98</v>
      </c>
      <c r="B22" s="122">
        <v>126.79</v>
      </c>
      <c r="C22" s="145" t="s">
        <v>129</v>
      </c>
      <c r="D22" s="159">
        <v>1.5</v>
      </c>
      <c r="E22" s="165" t="s">
        <v>205</v>
      </c>
      <c r="F22" s="160">
        <v>45626</v>
      </c>
      <c r="G22" s="164">
        <v>951000</v>
      </c>
      <c r="H22" s="164">
        <v>917952.33</v>
      </c>
      <c r="I22" s="203">
        <v>936088.32</v>
      </c>
      <c r="J22" s="176">
        <v>11903.71</v>
      </c>
      <c r="K22" s="162">
        <f t="shared" si="2"/>
        <v>27339.289999999997</v>
      </c>
      <c r="L22" s="259"/>
      <c r="M22" s="260"/>
      <c r="N22" s="261"/>
      <c r="O22" s="85">
        <v>3531.87</v>
      </c>
      <c r="P22" s="85">
        <v>11903.71</v>
      </c>
    </row>
    <row r="23" spans="1:17" ht="14.25" customHeight="1" x14ac:dyDescent="0.2">
      <c r="A23" s="62" t="s">
        <v>123</v>
      </c>
      <c r="B23" s="82">
        <v>365.12</v>
      </c>
      <c r="C23" s="77" t="s">
        <v>211</v>
      </c>
      <c r="D23" s="209">
        <v>4.95</v>
      </c>
      <c r="E23" s="77" t="s">
        <v>212</v>
      </c>
      <c r="F23" s="210">
        <v>45708</v>
      </c>
      <c r="G23" s="88">
        <v>249000</v>
      </c>
      <c r="H23" s="87">
        <v>249000</v>
      </c>
      <c r="I23" s="87">
        <v>249000</v>
      </c>
      <c r="J23" s="88">
        <v>3072.93</v>
      </c>
      <c r="K23" s="91">
        <f t="shared" si="2"/>
        <v>4389.8999999999996</v>
      </c>
      <c r="L23" s="259"/>
      <c r="M23" s="260"/>
      <c r="N23" s="261"/>
      <c r="O23" s="85">
        <v>0</v>
      </c>
      <c r="P23" s="85">
        <v>1316.97</v>
      </c>
    </row>
    <row r="24" spans="1:17" ht="14.25" customHeight="1" x14ac:dyDescent="0.2">
      <c r="A24" s="63" t="s">
        <v>99</v>
      </c>
      <c r="B24" s="71">
        <f>SUM(B8:B23)</f>
        <v>61209.250000000015</v>
      </c>
      <c r="C24" s="145" t="s">
        <v>213</v>
      </c>
      <c r="D24" s="159">
        <v>5</v>
      </c>
      <c r="E24" s="165" t="s">
        <v>214</v>
      </c>
      <c r="F24" s="160">
        <v>45709</v>
      </c>
      <c r="G24" s="164">
        <v>238000</v>
      </c>
      <c r="H24" s="164">
        <v>238000</v>
      </c>
      <c r="I24" s="161">
        <v>238000</v>
      </c>
      <c r="J24" s="164">
        <v>2966.85</v>
      </c>
      <c r="K24" s="162">
        <f t="shared" si="2"/>
        <v>4205.75</v>
      </c>
      <c r="L24" s="259"/>
      <c r="M24" s="260"/>
      <c r="N24" s="261"/>
      <c r="O24" s="85">
        <v>0</v>
      </c>
      <c r="P24" s="85">
        <v>1238.9000000000001</v>
      </c>
    </row>
    <row r="25" spans="1:17" ht="14.25" customHeight="1" thickBot="1" x14ac:dyDescent="0.25">
      <c r="A25" s="63" t="s">
        <v>112</v>
      </c>
      <c r="B25" s="72">
        <v>55533.54</v>
      </c>
      <c r="C25" s="77" t="s">
        <v>178</v>
      </c>
      <c r="D25" s="209">
        <v>5.25</v>
      </c>
      <c r="E25" s="77" t="s">
        <v>156</v>
      </c>
      <c r="F25" s="210">
        <v>45733</v>
      </c>
      <c r="G25" s="88">
        <v>249000</v>
      </c>
      <c r="H25" s="87">
        <v>249000</v>
      </c>
      <c r="I25" s="211">
        <v>248985.06</v>
      </c>
      <c r="J25" s="88">
        <v>3264.17</v>
      </c>
      <c r="K25" s="91">
        <f t="shared" si="2"/>
        <v>9828.380000000001</v>
      </c>
      <c r="L25" s="259"/>
      <c r="M25" s="260"/>
      <c r="N25" s="261"/>
      <c r="O25" s="85">
        <v>3300.04</v>
      </c>
      <c r="P25" s="85">
        <v>3264.17</v>
      </c>
    </row>
    <row r="26" spans="1:17" ht="14.25" customHeight="1" thickTop="1" x14ac:dyDescent="0.2">
      <c r="A26" s="63" t="s">
        <v>100</v>
      </c>
      <c r="B26" s="69">
        <f>SUM(B24:B25)</f>
        <v>116742.79000000001</v>
      </c>
      <c r="C26" s="145" t="s">
        <v>157</v>
      </c>
      <c r="D26" s="159">
        <v>5.25</v>
      </c>
      <c r="E26" s="165">
        <v>254673278</v>
      </c>
      <c r="F26" s="163">
        <v>45737</v>
      </c>
      <c r="G26" s="164">
        <v>243000</v>
      </c>
      <c r="H26" s="161">
        <v>243000</v>
      </c>
      <c r="I26" s="203">
        <v>242863.92</v>
      </c>
      <c r="J26" s="164">
        <v>3181.36</v>
      </c>
      <c r="K26" s="162">
        <f t="shared" si="2"/>
        <v>9579.0400000000009</v>
      </c>
      <c r="L26" s="259"/>
      <c r="M26" s="260"/>
      <c r="N26" s="261"/>
      <c r="O26" s="85">
        <v>3216.32</v>
      </c>
      <c r="P26" s="85">
        <v>3181.36</v>
      </c>
    </row>
    <row r="27" spans="1:17" x14ac:dyDescent="0.2">
      <c r="A27" s="77"/>
      <c r="B27" s="83"/>
      <c r="C27" s="77" t="s">
        <v>158</v>
      </c>
      <c r="D27" s="209">
        <v>5.3</v>
      </c>
      <c r="E27" s="77" t="s">
        <v>159</v>
      </c>
      <c r="F27" s="210">
        <v>45740</v>
      </c>
      <c r="G27" s="88">
        <v>249000</v>
      </c>
      <c r="H27" s="87">
        <v>249000</v>
      </c>
      <c r="I27" s="211">
        <v>249019.92</v>
      </c>
      <c r="J27" s="88">
        <v>3295.11</v>
      </c>
      <c r="K27" s="91">
        <f t="shared" si="2"/>
        <v>9921.5400000000009</v>
      </c>
      <c r="L27" s="259"/>
      <c r="M27" s="260"/>
      <c r="N27" s="261"/>
      <c r="O27" s="85">
        <v>3331.32</v>
      </c>
      <c r="P27" s="85">
        <v>3295.11</v>
      </c>
    </row>
    <row r="28" spans="1:17" ht="14.25" customHeight="1" x14ac:dyDescent="0.2">
      <c r="A28" s="77"/>
      <c r="B28" s="83"/>
      <c r="C28" s="145" t="s">
        <v>160</v>
      </c>
      <c r="D28" s="159">
        <v>5.15</v>
      </c>
      <c r="E28" s="165" t="s">
        <v>161</v>
      </c>
      <c r="F28" s="163">
        <v>45743</v>
      </c>
      <c r="G28" s="164">
        <v>243000</v>
      </c>
      <c r="H28" s="161">
        <v>243000</v>
      </c>
      <c r="I28" s="203">
        <v>242664.66</v>
      </c>
      <c r="J28" s="164">
        <v>3124.94</v>
      </c>
      <c r="K28" s="162">
        <f t="shared" si="2"/>
        <v>9409.16</v>
      </c>
      <c r="L28" s="259"/>
      <c r="M28" s="260"/>
      <c r="N28" s="261"/>
      <c r="O28" s="85">
        <v>3159.28</v>
      </c>
      <c r="P28" s="85">
        <v>3124.94</v>
      </c>
    </row>
    <row r="29" spans="1:17" ht="14.25" customHeight="1" x14ac:dyDescent="0.2">
      <c r="A29" s="77"/>
      <c r="B29" s="83"/>
      <c r="C29" s="77" t="s">
        <v>129</v>
      </c>
      <c r="D29" s="209">
        <v>4.8570000000000002</v>
      </c>
      <c r="E29" s="213" t="s">
        <v>194</v>
      </c>
      <c r="F29" s="210">
        <v>45884</v>
      </c>
      <c r="G29" s="88">
        <v>998000</v>
      </c>
      <c r="H29" s="87">
        <v>965150.75</v>
      </c>
      <c r="I29" s="211">
        <v>977061.96</v>
      </c>
      <c r="J29" s="88">
        <v>11880.96</v>
      </c>
      <c r="K29" s="91">
        <f t="shared" si="2"/>
        <v>35773.440000000002</v>
      </c>
      <c r="L29" s="259"/>
      <c r="M29" s="260"/>
      <c r="N29" s="261"/>
      <c r="O29" s="85">
        <v>12011.52</v>
      </c>
      <c r="P29" s="85">
        <v>11880.96</v>
      </c>
    </row>
    <row r="30" spans="1:17" ht="14.25" customHeight="1" x14ac:dyDescent="0.2">
      <c r="A30" s="77"/>
      <c r="B30" s="83"/>
      <c r="C30" s="145" t="s">
        <v>216</v>
      </c>
      <c r="D30" s="159">
        <v>4.8499999999999996</v>
      </c>
      <c r="E30" s="165" t="s">
        <v>215</v>
      </c>
      <c r="F30" s="163">
        <v>45890</v>
      </c>
      <c r="G30" s="164">
        <v>244000</v>
      </c>
      <c r="H30" s="161">
        <v>244000</v>
      </c>
      <c r="I30" s="203">
        <v>243106.96</v>
      </c>
      <c r="J30" s="164">
        <v>2950.39</v>
      </c>
      <c r="K30" s="162">
        <f t="shared" si="2"/>
        <v>4214.84</v>
      </c>
      <c r="L30" s="259"/>
      <c r="M30" s="260"/>
      <c r="N30" s="261"/>
      <c r="O30" s="85">
        <v>0</v>
      </c>
      <c r="P30" s="85">
        <v>1264.45</v>
      </c>
    </row>
    <row r="31" spans="1:17" ht="14.25" customHeight="1" x14ac:dyDescent="0.2">
      <c r="A31" s="77"/>
      <c r="B31" s="83"/>
      <c r="C31" s="77" t="s">
        <v>229</v>
      </c>
      <c r="D31" s="209">
        <v>5.05</v>
      </c>
      <c r="E31" s="213" t="s">
        <v>195</v>
      </c>
      <c r="F31" s="210">
        <v>45894</v>
      </c>
      <c r="G31" s="88">
        <v>243000</v>
      </c>
      <c r="H31" s="87">
        <v>243000</v>
      </c>
      <c r="I31" s="211">
        <v>242681.67</v>
      </c>
      <c r="J31" s="88">
        <v>3059.42</v>
      </c>
      <c r="K31" s="91">
        <f t="shared" si="2"/>
        <v>9211.880000000001</v>
      </c>
      <c r="L31" s="259"/>
      <c r="M31" s="260"/>
      <c r="N31" s="261"/>
      <c r="O31" s="85">
        <v>3093.04</v>
      </c>
      <c r="P31" s="85">
        <v>3059.42</v>
      </c>
    </row>
    <row r="32" spans="1:17" ht="14.25" customHeight="1" x14ac:dyDescent="0.2">
      <c r="A32" s="77"/>
      <c r="B32" s="83"/>
      <c r="C32" s="145" t="s">
        <v>196</v>
      </c>
      <c r="D32" s="159">
        <v>5</v>
      </c>
      <c r="E32" s="166" t="s">
        <v>197</v>
      </c>
      <c r="F32" s="163">
        <v>45894</v>
      </c>
      <c r="G32" s="164">
        <v>243000</v>
      </c>
      <c r="H32" s="161">
        <v>243000</v>
      </c>
      <c r="I32" s="203">
        <v>242514</v>
      </c>
      <c r="J32" s="164">
        <v>3029.39</v>
      </c>
      <c r="K32" s="162">
        <f t="shared" si="2"/>
        <v>9121.4599999999991</v>
      </c>
      <c r="L32" s="259"/>
      <c r="M32" s="260"/>
      <c r="N32" s="261"/>
      <c r="O32" s="85">
        <v>3062.68</v>
      </c>
      <c r="P32" s="85">
        <v>3029.39</v>
      </c>
    </row>
    <row r="33" spans="1:18" ht="14.25" customHeight="1" x14ac:dyDescent="0.2">
      <c r="A33" s="77"/>
      <c r="B33" s="83"/>
      <c r="C33" s="77" t="s">
        <v>217</v>
      </c>
      <c r="D33" s="209">
        <v>4.6500000000000004</v>
      </c>
      <c r="E33" s="213" t="s">
        <v>218</v>
      </c>
      <c r="F33" s="210">
        <v>46073</v>
      </c>
      <c r="G33" s="88">
        <v>244000</v>
      </c>
      <c r="H33" s="87">
        <v>244000</v>
      </c>
      <c r="I33" s="211">
        <v>242631.16</v>
      </c>
      <c r="J33" s="88">
        <v>2642.22</v>
      </c>
      <c r="K33" s="91">
        <f t="shared" si="2"/>
        <v>3885.62</v>
      </c>
      <c r="L33" s="259"/>
      <c r="M33" s="260"/>
      <c r="N33" s="261"/>
      <c r="O33" s="85">
        <v>0</v>
      </c>
      <c r="P33" s="85">
        <v>1243.4000000000001</v>
      </c>
    </row>
    <row r="34" spans="1:18" ht="15" customHeight="1" x14ac:dyDescent="0.2">
      <c r="A34" s="216"/>
      <c r="B34" s="83"/>
      <c r="C34" s="145" t="s">
        <v>254</v>
      </c>
      <c r="D34" s="159">
        <v>5.5</v>
      </c>
      <c r="E34" s="165" t="s">
        <v>228</v>
      </c>
      <c r="F34" s="163">
        <v>46080</v>
      </c>
      <c r="G34" s="164">
        <v>2000000</v>
      </c>
      <c r="H34" s="161">
        <v>2000000</v>
      </c>
      <c r="I34" s="203">
        <v>2000000</v>
      </c>
      <c r="J34" s="164">
        <v>10925.4</v>
      </c>
      <c r="K34" s="162">
        <f t="shared" si="2"/>
        <v>10925.4</v>
      </c>
      <c r="L34" s="259"/>
      <c r="M34" s="260"/>
      <c r="N34" s="261"/>
      <c r="O34" s="85">
        <v>0</v>
      </c>
      <c r="P34" s="85">
        <v>0</v>
      </c>
    </row>
    <row r="35" spans="1:18" ht="14.25" customHeight="1" x14ac:dyDescent="0.2">
      <c r="A35" s="216"/>
      <c r="B35" s="83"/>
      <c r="C35" s="167" t="s">
        <v>164</v>
      </c>
      <c r="D35" s="168">
        <v>5.4</v>
      </c>
      <c r="E35" s="167" t="s">
        <v>165</v>
      </c>
      <c r="F35" s="169">
        <v>45226</v>
      </c>
      <c r="G35" s="170">
        <v>0</v>
      </c>
      <c r="H35" s="170">
        <v>0</v>
      </c>
      <c r="I35" s="170">
        <v>0</v>
      </c>
      <c r="J35" s="202">
        <v>0</v>
      </c>
      <c r="K35" s="201">
        <v>7693.21</v>
      </c>
      <c r="L35" s="259">
        <v>52372.6</v>
      </c>
      <c r="M35" s="260" t="s">
        <v>231</v>
      </c>
      <c r="N35" s="261">
        <v>2000000</v>
      </c>
      <c r="O35" s="85">
        <v>7693.21</v>
      </c>
      <c r="P35" s="85">
        <v>0</v>
      </c>
    </row>
    <row r="36" spans="1:18" ht="14.25" customHeight="1" x14ac:dyDescent="0.2">
      <c r="A36" s="216"/>
      <c r="B36" s="83"/>
      <c r="C36" s="167" t="s">
        <v>129</v>
      </c>
      <c r="D36" s="168">
        <v>2.4279999999999999</v>
      </c>
      <c r="E36" s="167" t="s">
        <v>131</v>
      </c>
      <c r="F36" s="171">
        <v>45260</v>
      </c>
      <c r="G36" s="172">
        <v>0</v>
      </c>
      <c r="H36" s="170">
        <v>0</v>
      </c>
      <c r="I36" s="170">
        <v>0</v>
      </c>
      <c r="J36" s="170">
        <v>0</v>
      </c>
      <c r="K36" s="201">
        <v>3586.78</v>
      </c>
      <c r="L36" s="259">
        <v>33990.58</v>
      </c>
      <c r="M36" s="260" t="s">
        <v>232</v>
      </c>
      <c r="N36" s="261">
        <v>918000</v>
      </c>
      <c r="O36" s="85">
        <v>3586.78</v>
      </c>
      <c r="P36" s="85">
        <v>0</v>
      </c>
    </row>
    <row r="37" spans="1:18" ht="14.25" customHeight="1" x14ac:dyDescent="0.2">
      <c r="A37" s="216"/>
      <c r="B37" s="83"/>
      <c r="C37" s="167" t="s">
        <v>166</v>
      </c>
      <c r="D37" s="168">
        <v>4.9000000000000004</v>
      </c>
      <c r="E37" s="200" t="s">
        <v>167</v>
      </c>
      <c r="F37" s="171">
        <v>45310</v>
      </c>
      <c r="G37" s="172">
        <v>0</v>
      </c>
      <c r="H37" s="172">
        <v>0</v>
      </c>
      <c r="I37" s="170">
        <v>0</v>
      </c>
      <c r="J37" s="170">
        <v>0</v>
      </c>
      <c r="K37" s="201">
        <f t="shared" ref="K37:K42" si="3">SUM(J37+O37+P37+Q37)</f>
        <v>3557.79</v>
      </c>
      <c r="L37" s="259">
        <v>8897.19</v>
      </c>
      <c r="M37" s="260" t="s">
        <v>233</v>
      </c>
      <c r="N37" s="261">
        <v>241000</v>
      </c>
      <c r="O37" s="84">
        <v>2977.12</v>
      </c>
      <c r="P37" s="85">
        <v>580.66999999999996</v>
      </c>
    </row>
    <row r="38" spans="1:18" ht="14.25" customHeight="1" x14ac:dyDescent="0.2">
      <c r="C38" s="167" t="s">
        <v>135</v>
      </c>
      <c r="D38" s="168">
        <v>3.15</v>
      </c>
      <c r="E38" s="167" t="s">
        <v>136</v>
      </c>
      <c r="F38" s="171">
        <v>45334</v>
      </c>
      <c r="G38" s="172">
        <v>0</v>
      </c>
      <c r="H38" s="172">
        <v>0</v>
      </c>
      <c r="I38" s="170">
        <v>0</v>
      </c>
      <c r="J38" s="172">
        <v>0</v>
      </c>
      <c r="K38" s="201">
        <f t="shared" si="3"/>
        <v>2830.7</v>
      </c>
      <c r="L38" s="259">
        <v>11650.25</v>
      </c>
      <c r="M38" s="260" t="s">
        <v>234</v>
      </c>
      <c r="N38" s="261">
        <v>245000</v>
      </c>
      <c r="O38" s="85">
        <v>1945.8</v>
      </c>
      <c r="P38" s="85">
        <v>884.9</v>
      </c>
    </row>
    <row r="39" spans="1:18" ht="14.25" customHeight="1" x14ac:dyDescent="0.2">
      <c r="C39" s="167" t="s">
        <v>137</v>
      </c>
      <c r="D39" s="168">
        <v>3.2</v>
      </c>
      <c r="E39" s="167" t="s">
        <v>138</v>
      </c>
      <c r="F39" s="171">
        <v>45334</v>
      </c>
      <c r="G39" s="172">
        <v>0</v>
      </c>
      <c r="H39" s="172">
        <v>0</v>
      </c>
      <c r="I39" s="170">
        <v>0</v>
      </c>
      <c r="J39" s="172">
        <v>0</v>
      </c>
      <c r="K39" s="201">
        <f t="shared" si="3"/>
        <v>2925.3</v>
      </c>
      <c r="L39" s="259">
        <v>12028.41</v>
      </c>
      <c r="M39" s="260" t="s">
        <v>234</v>
      </c>
      <c r="N39" s="261">
        <v>249000</v>
      </c>
      <c r="O39" s="85">
        <v>2008.36</v>
      </c>
      <c r="P39" s="85">
        <v>916.94</v>
      </c>
    </row>
    <row r="40" spans="1:18" ht="14.25" customHeight="1" x14ac:dyDescent="0.2">
      <c r="C40" s="167" t="s">
        <v>168</v>
      </c>
      <c r="D40" s="168">
        <v>5.25</v>
      </c>
      <c r="E40" s="167" t="s">
        <v>169</v>
      </c>
      <c r="F40" s="171">
        <v>45345</v>
      </c>
      <c r="G40" s="172">
        <v>0</v>
      </c>
      <c r="H40" s="172">
        <v>0</v>
      </c>
      <c r="I40" s="170">
        <v>0</v>
      </c>
      <c r="J40" s="172">
        <v>0</v>
      </c>
      <c r="K40" s="201">
        <f t="shared" si="3"/>
        <v>4795.8999999999996</v>
      </c>
      <c r="L40" s="259">
        <v>9097.6</v>
      </c>
      <c r="M40" s="260" t="s">
        <v>233</v>
      </c>
      <c r="N40" s="261">
        <v>230000</v>
      </c>
      <c r="O40" s="85">
        <v>3044.28</v>
      </c>
      <c r="P40" s="85">
        <v>1751.62</v>
      </c>
    </row>
    <row r="41" spans="1:18" ht="14.25" customHeight="1" x14ac:dyDescent="0.2">
      <c r="A41" s="124"/>
      <c r="B41" s="104"/>
      <c r="C41" s="167" t="s">
        <v>170</v>
      </c>
      <c r="D41" s="168">
        <v>5.2</v>
      </c>
      <c r="E41" s="167" t="s">
        <v>171</v>
      </c>
      <c r="F41" s="171">
        <v>45351</v>
      </c>
      <c r="G41" s="172">
        <v>0</v>
      </c>
      <c r="H41" s="172">
        <v>0</v>
      </c>
      <c r="I41" s="170">
        <v>0</v>
      </c>
      <c r="J41" s="172">
        <v>0</v>
      </c>
      <c r="K41" s="201">
        <f t="shared" si="3"/>
        <v>4925.66</v>
      </c>
      <c r="L41" s="259">
        <v>8971.7800000000007</v>
      </c>
      <c r="M41" s="260" t="s">
        <v>233</v>
      </c>
      <c r="N41" s="261">
        <v>229000</v>
      </c>
      <c r="O41" s="85">
        <v>3001.96</v>
      </c>
      <c r="P41" s="85">
        <v>1923.7</v>
      </c>
    </row>
    <row r="42" spans="1:18" ht="14.25" customHeight="1" x14ac:dyDescent="0.2">
      <c r="A42" s="124"/>
      <c r="B42" s="104"/>
      <c r="C42" s="167" t="s">
        <v>129</v>
      </c>
      <c r="D42" s="168">
        <v>3.0649999999999999</v>
      </c>
      <c r="E42" s="167" t="s">
        <v>209</v>
      </c>
      <c r="F42" s="171">
        <v>45351</v>
      </c>
      <c r="G42" s="172">
        <v>0</v>
      </c>
      <c r="H42" s="170">
        <v>0</v>
      </c>
      <c r="I42" s="170">
        <v>0</v>
      </c>
      <c r="J42" s="172">
        <v>0</v>
      </c>
      <c r="K42" s="201">
        <f t="shared" si="3"/>
        <v>12540.78</v>
      </c>
      <c r="L42" s="262">
        <v>47670.93</v>
      </c>
      <c r="M42" s="263" t="s">
        <v>235</v>
      </c>
      <c r="N42" s="264">
        <v>1000000</v>
      </c>
      <c r="O42" s="85">
        <v>7640.6</v>
      </c>
      <c r="P42" s="85">
        <v>4900.18</v>
      </c>
    </row>
    <row r="43" spans="1:18" ht="14.25" customHeight="1" thickBot="1" x14ac:dyDescent="0.25">
      <c r="A43" s="22"/>
      <c r="C43" s="75"/>
      <c r="D43" s="141"/>
      <c r="E43" s="41" t="s">
        <v>75</v>
      </c>
      <c r="F43" s="42"/>
      <c r="G43" s="89">
        <f>SUM(G6:G42)</f>
        <v>47339849.390000001</v>
      </c>
      <c r="H43" s="89">
        <f>SUM(H6:H42)</f>
        <v>47273952.469999999</v>
      </c>
      <c r="I43" s="89">
        <f>SUM(I6:I42)</f>
        <v>47295352.020000003</v>
      </c>
      <c r="J43" s="89">
        <f>SUM(J6:J42)</f>
        <v>740661.41999999981</v>
      </c>
      <c r="K43" s="89">
        <f>SUM(K6:K42)</f>
        <v>1919613.9799999993</v>
      </c>
      <c r="L43" s="271"/>
      <c r="M43" s="271"/>
      <c r="N43" s="271"/>
      <c r="O43" s="89">
        <f>SUM(O6:O42)</f>
        <v>437094.59000000014</v>
      </c>
      <c r="P43" s="89">
        <f>SUM(P6:P42)</f>
        <v>741857.96999999986</v>
      </c>
      <c r="Q43" s="89"/>
      <c r="R43" s="89"/>
    </row>
    <row r="44" spans="1:18" ht="12" customHeight="1" x14ac:dyDescent="0.2">
      <c r="A44" s="22"/>
      <c r="L44" s="266"/>
      <c r="M44" s="266"/>
      <c r="N44" s="266"/>
    </row>
    <row r="45" spans="1:18" ht="12" customHeight="1" x14ac:dyDescent="0.2">
      <c r="A45" s="22"/>
      <c r="L45" s="260"/>
      <c r="M45" s="260"/>
      <c r="N45" s="260"/>
    </row>
    <row r="46" spans="1:18" ht="12" customHeight="1" x14ac:dyDescent="0.2">
      <c r="A46" s="22" t="s">
        <v>126</v>
      </c>
      <c r="B46" s="104"/>
      <c r="C46" s="145" t="s">
        <v>110</v>
      </c>
      <c r="D46" s="159">
        <f>SUM(D6)</f>
        <v>4.5856000000000003</v>
      </c>
      <c r="E46" s="173"/>
      <c r="F46" s="160">
        <f>SUM(F6)</f>
        <v>45473</v>
      </c>
      <c r="G46" s="161">
        <v>13485280.800000001</v>
      </c>
      <c r="H46" s="161">
        <f>SUM(G46)</f>
        <v>13485280.800000001</v>
      </c>
      <c r="I46" s="161">
        <f>SUM(G46)</f>
        <v>13485280.800000001</v>
      </c>
      <c r="J46" s="164">
        <v>117675.18</v>
      </c>
      <c r="K46" s="162">
        <f>SUM(J46+O46+P46+Q46)</f>
        <v>358373.55999999994</v>
      </c>
      <c r="L46" s="260"/>
      <c r="M46" s="260"/>
      <c r="N46" s="260"/>
      <c r="O46" s="85">
        <v>121669.04</v>
      </c>
      <c r="P46" s="85">
        <v>119029.34</v>
      </c>
    </row>
    <row r="47" spans="1:18" ht="12" customHeight="1" x14ac:dyDescent="0.2">
      <c r="A47" s="22"/>
      <c r="B47" s="104"/>
      <c r="D47" s="209"/>
      <c r="E47" s="217"/>
      <c r="F47" s="212"/>
      <c r="G47" s="87"/>
      <c r="H47" s="87"/>
      <c r="J47" s="88"/>
      <c r="K47" s="91"/>
      <c r="L47" s="260"/>
      <c r="M47" s="260"/>
      <c r="N47" s="260"/>
    </row>
    <row r="48" spans="1:18" ht="14.25" customHeight="1" x14ac:dyDescent="0.2">
      <c r="D48" s="102"/>
      <c r="E48" s="28"/>
      <c r="F48" s="27"/>
      <c r="G48" s="84"/>
      <c r="H48" s="3" t="s">
        <v>0</v>
      </c>
      <c r="I48" s="84"/>
      <c r="L48" s="260"/>
      <c r="M48" s="260"/>
      <c r="N48" s="260"/>
    </row>
    <row r="49" spans="1:23" ht="14.25" customHeight="1" x14ac:dyDescent="0.2">
      <c r="A49" s="22" t="s">
        <v>78</v>
      </c>
      <c r="B49" s="104"/>
      <c r="C49" s="145" t="s">
        <v>110</v>
      </c>
      <c r="D49" s="159">
        <f>SUM(D6)</f>
        <v>4.5856000000000003</v>
      </c>
      <c r="E49" s="145"/>
      <c r="F49" s="160">
        <f>SUM(F6)</f>
        <v>45473</v>
      </c>
      <c r="G49" s="174">
        <v>5215.17</v>
      </c>
      <c r="H49" s="161">
        <f>SUM(G49)</f>
        <v>5215.17</v>
      </c>
      <c r="I49" s="161">
        <f>SUM(G49)</f>
        <v>5215.17</v>
      </c>
      <c r="J49" s="174">
        <v>45.21</v>
      </c>
      <c r="K49" s="162">
        <f>SUM(J49+O49+P49+Q49)</f>
        <v>135.29000000000002</v>
      </c>
      <c r="L49" s="260"/>
      <c r="M49" s="260"/>
      <c r="N49" s="260"/>
      <c r="O49" s="86">
        <v>44.49</v>
      </c>
      <c r="P49" s="86">
        <v>45.59</v>
      </c>
      <c r="Q49" s="86"/>
    </row>
    <row r="50" spans="1:23" ht="14.25" customHeight="1" x14ac:dyDescent="0.2">
      <c r="A50" s="22"/>
      <c r="B50" s="104"/>
      <c r="D50" s="209"/>
      <c r="E50" s="77"/>
      <c r="F50" s="212"/>
      <c r="G50" s="218"/>
      <c r="H50" s="87"/>
      <c r="J50" s="218"/>
      <c r="K50" s="91"/>
      <c r="L50" s="260"/>
      <c r="M50" s="260"/>
      <c r="N50" s="260"/>
      <c r="O50" s="86"/>
      <c r="P50" s="86"/>
      <c r="Q50" s="86"/>
    </row>
    <row r="51" spans="1:23" ht="14.25" customHeight="1" x14ac:dyDescent="0.2">
      <c r="D51" s="102"/>
      <c r="E51" s="28"/>
      <c r="F51" s="27"/>
      <c r="G51" s="84"/>
      <c r="H51" s="3"/>
      <c r="I51" s="84"/>
      <c r="L51" s="260"/>
      <c r="M51" s="260"/>
      <c r="N51" s="260"/>
    </row>
    <row r="52" spans="1:23" ht="14.25" customHeight="1" x14ac:dyDescent="0.2">
      <c r="A52" s="22" t="s">
        <v>6</v>
      </c>
      <c r="B52" s="104"/>
      <c r="C52" s="145" t="s">
        <v>110</v>
      </c>
      <c r="D52" s="159">
        <f>SUM(D6)</f>
        <v>4.5856000000000003</v>
      </c>
      <c r="E52" s="145"/>
      <c r="F52" s="160">
        <f>SUM(F6)</f>
        <v>45473</v>
      </c>
      <c r="G52" s="164">
        <v>6159.77</v>
      </c>
      <c r="H52" s="161">
        <f>SUM(G52)</f>
        <v>6159.77</v>
      </c>
      <c r="I52" s="161">
        <f>SUM(G52)</f>
        <v>6159.77</v>
      </c>
      <c r="J52" s="164">
        <v>53.44</v>
      </c>
      <c r="K52" s="162">
        <f>SUM(J52+O52+P52+Q52)</f>
        <v>159.84</v>
      </c>
      <c r="L52" s="260"/>
      <c r="M52" s="260"/>
      <c r="N52" s="260"/>
      <c r="O52" s="85">
        <v>52.55</v>
      </c>
      <c r="P52" s="85">
        <v>53.85</v>
      </c>
    </row>
    <row r="53" spans="1:23" x14ac:dyDescent="0.2">
      <c r="A53" s="22"/>
      <c r="B53" s="104"/>
      <c r="D53" s="102"/>
      <c r="F53" s="27"/>
      <c r="G53" s="86"/>
      <c r="H53" s="86"/>
      <c r="I53" s="86"/>
      <c r="L53" s="260"/>
      <c r="M53" s="260"/>
      <c r="N53" s="260"/>
    </row>
    <row r="54" spans="1:23" ht="12" customHeight="1" x14ac:dyDescent="0.2">
      <c r="A54" s="22"/>
      <c r="B54" s="83"/>
      <c r="D54" s="102"/>
      <c r="F54" s="27"/>
      <c r="G54" s="86"/>
      <c r="H54" s="86"/>
      <c r="I54" s="86"/>
      <c r="J54" s="86"/>
      <c r="L54" s="260"/>
      <c r="M54" s="260"/>
      <c r="N54" s="260"/>
      <c r="O54" s="86"/>
      <c r="P54" s="86"/>
      <c r="Q54" s="86"/>
    </row>
    <row r="55" spans="1:23" ht="12" customHeight="1" x14ac:dyDescent="0.2">
      <c r="A55" s="22" t="s">
        <v>117</v>
      </c>
      <c r="B55" s="83"/>
      <c r="C55" s="145" t="s">
        <v>110</v>
      </c>
      <c r="D55" s="159">
        <f>SUM(D6)</f>
        <v>4.5856000000000003</v>
      </c>
      <c r="E55" s="145"/>
      <c r="F55" s="160">
        <f>SUM(F6)</f>
        <v>45473</v>
      </c>
      <c r="G55" s="174">
        <v>5692571.6100000003</v>
      </c>
      <c r="H55" s="161">
        <f>SUM(G55)</f>
        <v>5692571.6100000003</v>
      </c>
      <c r="I55" s="161">
        <f>SUM(G55)</f>
        <v>5692571.6100000003</v>
      </c>
      <c r="J55" s="174">
        <v>47731.040000000001</v>
      </c>
      <c r="K55" s="162">
        <f t="shared" ref="K55:K60" si="4">SUM(J55+O55+P55+Q55)</f>
        <v>166396.4</v>
      </c>
      <c r="L55" s="260"/>
      <c r="M55" s="260"/>
      <c r="N55" s="260"/>
      <c r="O55" s="86">
        <v>61267.199999999997</v>
      </c>
      <c r="P55" s="86">
        <v>57398.16</v>
      </c>
      <c r="Q55" s="86"/>
    </row>
    <row r="56" spans="1:23" ht="12" customHeight="1" x14ac:dyDescent="0.2">
      <c r="A56" s="22"/>
      <c r="B56" s="83"/>
      <c r="C56" t="s">
        <v>129</v>
      </c>
      <c r="D56" s="102">
        <v>5.2649999999999997</v>
      </c>
      <c r="E56" t="s">
        <v>199</v>
      </c>
      <c r="F56" s="27">
        <v>45519</v>
      </c>
      <c r="G56" s="86">
        <v>750000</v>
      </c>
      <c r="H56" s="86">
        <v>737524.52</v>
      </c>
      <c r="I56" s="86">
        <v>747157.5</v>
      </c>
      <c r="J56" s="86">
        <v>9625.07</v>
      </c>
      <c r="K56" s="90">
        <f t="shared" si="4"/>
        <v>28980.98</v>
      </c>
      <c r="L56" s="260"/>
      <c r="M56" s="260"/>
      <c r="N56" s="260"/>
      <c r="O56" s="86">
        <v>9730.84</v>
      </c>
      <c r="P56" s="86">
        <v>9625.07</v>
      </c>
      <c r="Q56" s="86"/>
    </row>
    <row r="57" spans="1:23" ht="12.75" customHeight="1" x14ac:dyDescent="0.2">
      <c r="A57" s="22"/>
      <c r="B57" s="83"/>
      <c r="C57" s="145" t="s">
        <v>200</v>
      </c>
      <c r="D57" s="159">
        <v>5.05</v>
      </c>
      <c r="E57" s="145" t="s">
        <v>201</v>
      </c>
      <c r="F57" s="160">
        <v>45852</v>
      </c>
      <c r="G57" s="174">
        <v>243000</v>
      </c>
      <c r="H57" s="174">
        <v>243000</v>
      </c>
      <c r="I57" s="174">
        <v>242594.19</v>
      </c>
      <c r="J57" s="174">
        <v>3029.39</v>
      </c>
      <c r="K57" s="162">
        <f t="shared" si="4"/>
        <v>9121.4599999999991</v>
      </c>
      <c r="L57" s="260"/>
      <c r="M57" s="260"/>
      <c r="N57" s="260"/>
      <c r="O57" s="86">
        <v>3062.68</v>
      </c>
      <c r="P57" s="86">
        <v>3029.39</v>
      </c>
      <c r="Q57" s="86"/>
    </row>
    <row r="58" spans="1:23" ht="12" customHeight="1" x14ac:dyDescent="0.2">
      <c r="A58" s="22"/>
      <c r="B58" s="83"/>
      <c r="C58" s="167" t="s">
        <v>180</v>
      </c>
      <c r="D58" s="168">
        <v>5.05</v>
      </c>
      <c r="E58" s="167" t="s">
        <v>181</v>
      </c>
      <c r="F58" s="169">
        <v>45238</v>
      </c>
      <c r="G58" s="175">
        <v>0</v>
      </c>
      <c r="H58" s="175">
        <v>0</v>
      </c>
      <c r="I58" s="175">
        <v>0</v>
      </c>
      <c r="J58" s="175">
        <v>0</v>
      </c>
      <c r="K58" s="201">
        <f t="shared" si="4"/>
        <v>1277.56</v>
      </c>
      <c r="L58" s="260">
        <v>6186.18</v>
      </c>
      <c r="M58" s="260" t="s">
        <v>244</v>
      </c>
      <c r="N58" s="260">
        <v>243000</v>
      </c>
      <c r="O58" s="86">
        <v>1277.56</v>
      </c>
      <c r="P58" s="86">
        <v>0</v>
      </c>
      <c r="Q58" s="86"/>
    </row>
    <row r="59" spans="1:23" ht="12" customHeight="1" x14ac:dyDescent="0.2">
      <c r="A59" s="22"/>
      <c r="B59" s="83"/>
      <c r="C59" s="167" t="s">
        <v>182</v>
      </c>
      <c r="D59" s="168">
        <v>5</v>
      </c>
      <c r="E59" s="167" t="s">
        <v>183</v>
      </c>
      <c r="F59" s="169">
        <v>45238</v>
      </c>
      <c r="G59" s="175">
        <v>0</v>
      </c>
      <c r="H59" s="175">
        <v>0</v>
      </c>
      <c r="I59" s="175">
        <v>0</v>
      </c>
      <c r="J59" s="175">
        <v>0</v>
      </c>
      <c r="K59" s="201">
        <f t="shared" si="4"/>
        <v>1264.5999999999999</v>
      </c>
      <c r="L59" s="260">
        <v>6058.36</v>
      </c>
      <c r="M59" s="260" t="s">
        <v>245</v>
      </c>
      <c r="N59" s="260">
        <v>243000</v>
      </c>
      <c r="O59" s="86">
        <v>1264.5999999999999</v>
      </c>
      <c r="P59" s="86">
        <v>0</v>
      </c>
      <c r="Q59" s="86"/>
    </row>
    <row r="60" spans="1:23" ht="12" customHeight="1" x14ac:dyDescent="0.2">
      <c r="A60" s="22"/>
      <c r="B60" s="83"/>
      <c r="C60" s="167" t="s">
        <v>129</v>
      </c>
      <c r="D60" s="168">
        <v>4.8010000000000002</v>
      </c>
      <c r="E60" s="167" t="s">
        <v>184</v>
      </c>
      <c r="F60" s="169">
        <v>45291</v>
      </c>
      <c r="G60" s="175">
        <v>0</v>
      </c>
      <c r="H60" s="175">
        <v>0</v>
      </c>
      <c r="I60" s="175">
        <v>0</v>
      </c>
      <c r="J60" s="175">
        <v>0</v>
      </c>
      <c r="K60" s="201">
        <f t="shared" si="4"/>
        <v>10116.870000000001</v>
      </c>
      <c r="L60" s="260">
        <v>29366.71</v>
      </c>
      <c r="M60" s="260" t="s">
        <v>246</v>
      </c>
      <c r="N60" s="260">
        <v>1260000</v>
      </c>
      <c r="O60" s="86">
        <v>10116.870000000001</v>
      </c>
      <c r="P60" s="86">
        <v>0</v>
      </c>
      <c r="Q60" s="86"/>
    </row>
    <row r="61" spans="1:23" x14ac:dyDescent="0.2">
      <c r="A61" s="22"/>
      <c r="B61" s="83"/>
      <c r="C61" s="167" t="s">
        <v>179</v>
      </c>
      <c r="D61" s="168">
        <v>5.3529999999999998</v>
      </c>
      <c r="E61" s="167" t="s">
        <v>198</v>
      </c>
      <c r="F61" s="169">
        <v>45323</v>
      </c>
      <c r="G61" s="219" t="s">
        <v>0</v>
      </c>
      <c r="H61" s="175">
        <v>0</v>
      </c>
      <c r="I61" s="175">
        <v>0</v>
      </c>
      <c r="J61" s="175">
        <v>0</v>
      </c>
      <c r="K61" s="201">
        <f t="shared" ref="K61" si="5">SUM(J61+O61+P61+Q61)</f>
        <v>22722.890000000003</v>
      </c>
      <c r="L61" s="260">
        <v>33437.81</v>
      </c>
      <c r="M61" s="260" t="s">
        <v>247</v>
      </c>
      <c r="N61" s="260">
        <v>1293000</v>
      </c>
      <c r="O61" s="86">
        <v>16996.080000000002</v>
      </c>
      <c r="P61" s="86">
        <v>5726.81</v>
      </c>
      <c r="Q61" s="86"/>
      <c r="W61" s="204" t="s">
        <v>0</v>
      </c>
    </row>
    <row r="62" spans="1:23" ht="12" customHeight="1" x14ac:dyDescent="0.2">
      <c r="A62" s="22"/>
      <c r="B62" s="83"/>
      <c r="D62" s="102"/>
      <c r="F62" s="27"/>
      <c r="G62" s="86"/>
      <c r="H62" s="86"/>
      <c r="I62" s="86"/>
      <c r="J62" s="86"/>
      <c r="L62" s="260"/>
      <c r="M62" s="260"/>
      <c r="N62" s="260"/>
      <c r="O62" s="86"/>
      <c r="P62" s="86"/>
      <c r="Q62" s="86"/>
    </row>
    <row r="63" spans="1:23" ht="12" customHeight="1" x14ac:dyDescent="0.2">
      <c r="A63" s="22"/>
      <c r="B63" s="83"/>
      <c r="D63" s="102"/>
      <c r="F63" s="27"/>
      <c r="G63" s="86"/>
      <c r="H63" s="86"/>
      <c r="I63" s="86"/>
      <c r="J63" s="86"/>
      <c r="L63" s="260"/>
      <c r="M63" s="260"/>
      <c r="N63" s="260"/>
      <c r="O63" s="86"/>
      <c r="P63" s="86"/>
      <c r="Q63" s="86"/>
    </row>
    <row r="64" spans="1:23" x14ac:dyDescent="0.2">
      <c r="A64" s="22" t="s">
        <v>10</v>
      </c>
      <c r="B64" s="70"/>
      <c r="C64" s="145" t="s">
        <v>110</v>
      </c>
      <c r="D64" s="159">
        <f>SUM(D6)</f>
        <v>4.5856000000000003</v>
      </c>
      <c r="E64" s="145"/>
      <c r="F64" s="160">
        <f>SUM(F6)</f>
        <v>45473</v>
      </c>
      <c r="G64" s="161">
        <v>75523.61</v>
      </c>
      <c r="H64" s="161">
        <f>SUM(G64)</f>
        <v>75523.61</v>
      </c>
      <c r="I64" s="161">
        <f>SUM(G64)</f>
        <v>75523.61</v>
      </c>
      <c r="J64" s="164">
        <v>649.15</v>
      </c>
      <c r="K64" s="162">
        <f>SUM(J64+O64+P64+Q64)</f>
        <v>1917.0100000000002</v>
      </c>
      <c r="L64" s="260"/>
      <c r="M64" s="260"/>
      <c r="N64" s="260"/>
      <c r="O64" s="85">
        <v>620.75</v>
      </c>
      <c r="P64" s="85">
        <v>647.11</v>
      </c>
    </row>
    <row r="65" spans="1:17" x14ac:dyDescent="0.2">
      <c r="A65" s="22"/>
      <c r="B65" s="70"/>
      <c r="D65" s="209"/>
      <c r="E65" s="77"/>
      <c r="F65" s="212"/>
      <c r="G65" s="87"/>
      <c r="H65" s="87"/>
      <c r="J65" s="88"/>
      <c r="K65" s="91"/>
      <c r="L65" s="260"/>
      <c r="M65" s="260"/>
      <c r="N65" s="260"/>
    </row>
    <row r="66" spans="1:17" x14ac:dyDescent="0.2">
      <c r="A66" s="22"/>
      <c r="B66" s="70"/>
      <c r="D66" s="209"/>
      <c r="E66" s="77"/>
      <c r="F66" s="212"/>
      <c r="G66" s="87"/>
      <c r="H66" s="87"/>
      <c r="J66" s="88"/>
      <c r="K66" s="91"/>
      <c r="L66" s="260"/>
      <c r="M66" s="260"/>
      <c r="N66" s="260"/>
    </row>
    <row r="67" spans="1:17" s="77" customFormat="1" x14ac:dyDescent="0.2">
      <c r="A67" s="22" t="s">
        <v>33</v>
      </c>
      <c r="B67" s="83"/>
      <c r="C67" s="145" t="s">
        <v>110</v>
      </c>
      <c r="D67" s="159">
        <f>SUM(D6)</f>
        <v>4.5856000000000003</v>
      </c>
      <c r="E67" s="145"/>
      <c r="F67" s="160">
        <f>SUM(F6)</f>
        <v>45473</v>
      </c>
      <c r="G67" s="164">
        <v>454293.72</v>
      </c>
      <c r="H67" s="161">
        <f>SUM(G67)</f>
        <v>454293.72</v>
      </c>
      <c r="I67" s="161">
        <f>SUM(G67)</f>
        <v>454293.72</v>
      </c>
      <c r="J67" s="164">
        <v>2163.06</v>
      </c>
      <c r="K67" s="162">
        <f>SUM(J67+O67+P67+Q67)</f>
        <v>6316.6900000000005</v>
      </c>
      <c r="L67" s="260"/>
      <c r="M67" s="260"/>
      <c r="N67" s="260"/>
      <c r="O67" s="85">
        <v>1912.82</v>
      </c>
      <c r="P67" s="85">
        <v>2240.81</v>
      </c>
      <c r="Q67" s="85"/>
    </row>
    <row r="68" spans="1:17" s="77" customFormat="1" x14ac:dyDescent="0.2">
      <c r="A68" s="22"/>
      <c r="B68" s="83"/>
      <c r="D68" s="209"/>
      <c r="F68" s="212"/>
      <c r="G68" s="88"/>
      <c r="H68" s="87"/>
      <c r="I68" s="87"/>
      <c r="J68" s="88"/>
      <c r="K68" s="91"/>
      <c r="L68" s="260"/>
      <c r="M68" s="260"/>
      <c r="N68" s="260"/>
      <c r="O68" s="85"/>
      <c r="P68" s="85"/>
      <c r="Q68" s="85"/>
    </row>
    <row r="69" spans="1:17" x14ac:dyDescent="0.2">
      <c r="A69" s="22"/>
      <c r="B69" s="70"/>
      <c r="D69" s="209"/>
      <c r="E69" s="77"/>
      <c r="F69" s="212"/>
      <c r="G69" s="87"/>
      <c r="H69" s="87"/>
      <c r="J69" s="88"/>
      <c r="K69" s="91"/>
      <c r="L69" s="260"/>
      <c r="M69" s="260"/>
      <c r="N69" s="260"/>
      <c r="O69" s="88"/>
    </row>
    <row r="70" spans="1:17" x14ac:dyDescent="0.2">
      <c r="A70" s="22" t="s">
        <v>92</v>
      </c>
      <c r="C70" s="145" t="s">
        <v>110</v>
      </c>
      <c r="D70" s="159">
        <f>SUM(D6)</f>
        <v>4.5856000000000003</v>
      </c>
      <c r="E70" s="145"/>
      <c r="F70" s="160">
        <f>SUM(F6)</f>
        <v>45473</v>
      </c>
      <c r="G70" s="164">
        <v>1088308.55</v>
      </c>
      <c r="H70" s="161">
        <f>SUM(G70)</f>
        <v>1088308.55</v>
      </c>
      <c r="I70" s="161">
        <f>SUM(G70)</f>
        <v>1088308.55</v>
      </c>
      <c r="J70" s="164">
        <v>9433.6200000000008</v>
      </c>
      <c r="K70" s="162">
        <f>SUM(J70+O70+P70+Q70)</f>
        <v>28228.18</v>
      </c>
      <c r="L70" s="260"/>
      <c r="M70" s="260"/>
      <c r="N70" s="260"/>
      <c r="O70" s="85">
        <v>9281.9</v>
      </c>
      <c r="P70" s="85">
        <v>9512.66</v>
      </c>
    </row>
    <row r="71" spans="1:17" x14ac:dyDescent="0.2">
      <c r="A71" s="22"/>
      <c r="D71" s="209"/>
      <c r="E71" s="77"/>
      <c r="F71" s="212"/>
      <c r="G71" s="88"/>
      <c r="H71" s="87"/>
      <c r="J71" s="88"/>
      <c r="K71" s="91"/>
      <c r="L71" s="260"/>
      <c r="M71" s="260"/>
      <c r="N71" s="260"/>
    </row>
    <row r="72" spans="1:17" x14ac:dyDescent="0.2">
      <c r="A72" s="110"/>
      <c r="B72" s="111"/>
      <c r="C72" s="112"/>
      <c r="D72" s="113"/>
      <c r="E72" s="114"/>
      <c r="F72" s="27"/>
      <c r="G72" s="115"/>
      <c r="H72" s="115"/>
      <c r="I72" s="115"/>
      <c r="J72" s="116"/>
      <c r="L72" s="260"/>
      <c r="M72" s="260"/>
      <c r="N72" s="260"/>
      <c r="O72" s="116"/>
      <c r="P72" s="116"/>
      <c r="Q72" s="116"/>
    </row>
    <row r="73" spans="1:17" ht="12" customHeight="1" x14ac:dyDescent="0.2">
      <c r="A73" s="22" t="s">
        <v>8</v>
      </c>
      <c r="C73" s="145" t="s">
        <v>110</v>
      </c>
      <c r="D73" s="159">
        <f>SUM(D6)</f>
        <v>4.5856000000000003</v>
      </c>
      <c r="E73" s="145"/>
      <c r="F73" s="160">
        <f>SUM(F6)</f>
        <v>45473</v>
      </c>
      <c r="G73" s="161">
        <v>2353144.2799999998</v>
      </c>
      <c r="H73" s="161">
        <f>SUM(G73)</f>
        <v>2353144.2799999998</v>
      </c>
      <c r="I73" s="161">
        <f>SUM(G73)</f>
        <v>2353144.2799999998</v>
      </c>
      <c r="J73" s="164">
        <v>19338.650000000001</v>
      </c>
      <c r="K73" s="162">
        <f>SUM(J73+O73+P73+Q73)</f>
        <v>53278.130000000005</v>
      </c>
      <c r="L73" s="260"/>
      <c r="M73" s="260"/>
      <c r="N73" s="260"/>
      <c r="O73" s="85">
        <v>16161.64</v>
      </c>
      <c r="P73" s="85">
        <v>17777.84</v>
      </c>
    </row>
    <row r="74" spans="1:17" ht="12" customHeight="1" x14ac:dyDescent="0.2">
      <c r="C74" s="77" t="s">
        <v>128</v>
      </c>
      <c r="D74" s="102">
        <v>5.14</v>
      </c>
      <c r="E74" t="s">
        <v>185</v>
      </c>
      <c r="F74" s="27">
        <f>SUM(F6)</f>
        <v>45473</v>
      </c>
      <c r="G74" s="85">
        <v>4375.0600000000004</v>
      </c>
      <c r="H74" s="84">
        <f>SUM(G74)</f>
        <v>4375.0600000000004</v>
      </c>
      <c r="I74" s="84">
        <f>SUM(G74)</f>
        <v>4375.0600000000004</v>
      </c>
      <c r="J74" s="85">
        <v>94.59</v>
      </c>
      <c r="K74" s="90">
        <f>SUM(J74+O74+P74+Q74)</f>
        <v>207.48</v>
      </c>
      <c r="L74" s="260"/>
      <c r="M74" s="260"/>
      <c r="N74" s="260"/>
      <c r="O74" s="85">
        <v>56.63</v>
      </c>
      <c r="P74" s="85">
        <v>56.26</v>
      </c>
    </row>
    <row r="75" spans="1:17" ht="12" customHeight="1" x14ac:dyDescent="0.2">
      <c r="C75" s="145" t="s">
        <v>164</v>
      </c>
      <c r="D75" s="159">
        <v>5.25</v>
      </c>
      <c r="E75" s="145" t="s">
        <v>185</v>
      </c>
      <c r="F75" s="160">
        <v>45408</v>
      </c>
      <c r="G75" s="164"/>
      <c r="H75" s="164"/>
      <c r="I75" s="164"/>
      <c r="J75" s="164">
        <v>3588.91</v>
      </c>
      <c r="K75" s="162">
        <f>SUM(J75+O75+P75+Q75)</f>
        <v>29840.26</v>
      </c>
      <c r="L75" s="260">
        <v>51782.79</v>
      </c>
      <c r="M75" s="260" t="s">
        <v>236</v>
      </c>
      <c r="N75" s="260">
        <v>1000000</v>
      </c>
      <c r="O75" s="85">
        <v>13197.4</v>
      </c>
      <c r="P75" s="85">
        <v>13053.95</v>
      </c>
    </row>
    <row r="76" spans="1:17" ht="12" customHeight="1" x14ac:dyDescent="0.2">
      <c r="C76" s="77" t="s">
        <v>164</v>
      </c>
      <c r="D76" s="209">
        <v>5.47</v>
      </c>
      <c r="E76" s="77" t="s">
        <v>185</v>
      </c>
      <c r="F76" s="212">
        <v>45646</v>
      </c>
      <c r="G76" s="88">
        <v>1000000</v>
      </c>
      <c r="H76" s="88">
        <v>1000000</v>
      </c>
      <c r="I76" s="88">
        <v>1000000</v>
      </c>
      <c r="J76" s="88">
        <v>9741.1</v>
      </c>
      <c r="K76" s="91">
        <f>SUM(J76+O76+P76+Q76)</f>
        <v>9741.1</v>
      </c>
      <c r="L76" s="260"/>
      <c r="M76" s="260"/>
      <c r="N76" s="260"/>
      <c r="O76" s="85">
        <v>0</v>
      </c>
      <c r="P76" s="85">
        <v>0</v>
      </c>
    </row>
    <row r="77" spans="1:17" ht="12" customHeight="1" x14ac:dyDescent="0.2">
      <c r="D77" s="209"/>
      <c r="E77" s="77"/>
      <c r="F77" s="212"/>
      <c r="G77" s="88"/>
      <c r="I77" s="88"/>
      <c r="J77" s="88"/>
      <c r="K77" s="91"/>
      <c r="L77" s="260"/>
      <c r="M77" s="260"/>
      <c r="N77" s="260"/>
    </row>
    <row r="78" spans="1:17" ht="12" customHeight="1" x14ac:dyDescent="0.2">
      <c r="D78" s="102"/>
      <c r="F78" s="27"/>
      <c r="H78" s="85"/>
      <c r="I78" s="85"/>
      <c r="L78" s="260"/>
      <c r="M78" s="260"/>
      <c r="N78" s="260"/>
    </row>
    <row r="79" spans="1:17" s="114" customFormat="1" x14ac:dyDescent="0.2">
      <c r="A79" s="22" t="s">
        <v>31</v>
      </c>
      <c r="B79" s="68"/>
      <c r="C79" s="145" t="s">
        <v>110</v>
      </c>
      <c r="D79" s="159">
        <f>SUM(D6)</f>
        <v>4.5856000000000003</v>
      </c>
      <c r="E79" s="145"/>
      <c r="F79" s="160">
        <f>SUM(F6)</f>
        <v>45473</v>
      </c>
      <c r="G79" s="161">
        <v>1692166.48</v>
      </c>
      <c r="H79" s="161">
        <f>SUM(G79)</f>
        <v>1692166.48</v>
      </c>
      <c r="I79" s="161">
        <f>SUM(G79)</f>
        <v>1692166.48</v>
      </c>
      <c r="J79" s="176" t="s">
        <v>153</v>
      </c>
      <c r="K79" s="164" t="s">
        <v>90</v>
      </c>
      <c r="L79" s="265"/>
      <c r="M79" s="265"/>
      <c r="N79" s="265"/>
      <c r="O79" s="92">
        <v>0</v>
      </c>
      <c r="P79" s="92">
        <v>0</v>
      </c>
      <c r="Q79" s="92"/>
    </row>
    <row r="80" spans="1:17" ht="12" customHeight="1" x14ac:dyDescent="0.2">
      <c r="A80" s="22"/>
      <c r="B80" s="83"/>
      <c r="D80" s="102"/>
      <c r="F80" s="27"/>
      <c r="G80" s="86"/>
      <c r="H80" s="86"/>
      <c r="I80" s="86"/>
      <c r="J80" s="86"/>
      <c r="L80" s="260"/>
      <c r="M80" s="260"/>
      <c r="N80" s="260"/>
      <c r="O80" s="86"/>
      <c r="P80" s="86"/>
      <c r="Q80" s="86"/>
    </row>
    <row r="81" spans="1:17" ht="12" customHeight="1" x14ac:dyDescent="0.2">
      <c r="A81" s="22"/>
      <c r="B81" s="83"/>
      <c r="D81" s="102"/>
      <c r="F81" s="27"/>
      <c r="G81" s="86"/>
      <c r="H81" s="86"/>
      <c r="I81" s="86"/>
      <c r="J81" s="86"/>
      <c r="L81" s="260"/>
      <c r="M81" s="260"/>
      <c r="N81" s="260"/>
      <c r="O81" s="86"/>
      <c r="P81" s="86"/>
      <c r="Q81" s="86"/>
    </row>
    <row r="82" spans="1:17" s="22" customFormat="1" ht="14.25" customHeight="1" x14ac:dyDescent="0.2">
      <c r="A82" s="22" t="s">
        <v>9</v>
      </c>
      <c r="B82" s="70"/>
      <c r="C82" s="145" t="s">
        <v>110</v>
      </c>
      <c r="D82" s="159">
        <f>SUM(D6)</f>
        <v>4.5856000000000003</v>
      </c>
      <c r="E82" s="145"/>
      <c r="F82" s="160">
        <f>SUM(F6)</f>
        <v>45473</v>
      </c>
      <c r="G82" s="161">
        <v>2416351.2799999998</v>
      </c>
      <c r="H82" s="161">
        <f>SUM(G82)</f>
        <v>2416351.2799999998</v>
      </c>
      <c r="I82" s="161">
        <f>SUM(G82)</f>
        <v>2416351.2799999998</v>
      </c>
      <c r="J82" s="164">
        <v>11119.6</v>
      </c>
      <c r="K82" s="162">
        <f>SUM(J82+O82+P82+Q82)</f>
        <v>50697.560000000005</v>
      </c>
      <c r="L82" s="260"/>
      <c r="M82" s="260"/>
      <c r="N82" s="260"/>
      <c r="O82" s="85">
        <v>23713.24</v>
      </c>
      <c r="P82" s="85">
        <v>15864.72</v>
      </c>
      <c r="Q82" s="85"/>
    </row>
    <row r="83" spans="1:17" ht="12" customHeight="1" x14ac:dyDescent="0.2">
      <c r="A83" s="22"/>
      <c r="B83" s="83"/>
      <c r="D83" s="102"/>
      <c r="F83" s="27"/>
      <c r="G83" s="86"/>
      <c r="H83" s="86"/>
      <c r="I83" s="86"/>
      <c r="J83" s="86"/>
      <c r="L83" s="260"/>
      <c r="M83" s="260"/>
      <c r="N83" s="260"/>
      <c r="O83" s="86"/>
      <c r="P83" s="86"/>
      <c r="Q83" s="86"/>
    </row>
    <row r="84" spans="1:17" ht="12" customHeight="1" x14ac:dyDescent="0.2">
      <c r="A84" s="22"/>
      <c r="B84" s="83"/>
      <c r="D84" s="102"/>
      <c r="F84" s="27"/>
      <c r="G84" s="86"/>
      <c r="H84" s="86"/>
      <c r="I84" s="86"/>
      <c r="J84" s="86"/>
      <c r="L84" s="260"/>
      <c r="M84" s="260"/>
      <c r="N84" s="260"/>
      <c r="O84" s="86"/>
      <c r="P84" s="86"/>
      <c r="Q84" s="86"/>
    </row>
    <row r="85" spans="1:17" x14ac:dyDescent="0.2">
      <c r="A85" s="22" t="s">
        <v>32</v>
      </c>
      <c r="C85" s="145" t="s">
        <v>110</v>
      </c>
      <c r="D85" s="159">
        <f>SUM(D6)</f>
        <v>4.5856000000000003</v>
      </c>
      <c r="E85" s="145"/>
      <c r="F85" s="160">
        <f>SUM(F6)</f>
        <v>45473</v>
      </c>
      <c r="G85" s="161">
        <v>164847.14000000001</v>
      </c>
      <c r="H85" s="161">
        <f>SUM(G85)</f>
        <v>164847.14000000001</v>
      </c>
      <c r="I85" s="161">
        <f>SUM(G85)</f>
        <v>164847.14000000001</v>
      </c>
      <c r="J85" s="164">
        <v>1547.04</v>
      </c>
      <c r="K85" s="162">
        <f>SUM(J85+O85+P85+Q85)</f>
        <v>4616.95</v>
      </c>
      <c r="L85" s="260"/>
      <c r="M85" s="260"/>
      <c r="N85" s="260"/>
      <c r="O85" s="85">
        <v>1169.67</v>
      </c>
      <c r="P85" s="85">
        <v>1900.24</v>
      </c>
    </row>
    <row r="86" spans="1:17" x14ac:dyDescent="0.2">
      <c r="A86" s="22"/>
      <c r="D86" s="102"/>
      <c r="F86" s="27"/>
      <c r="G86" s="84"/>
      <c r="H86" s="84"/>
      <c r="I86" s="84"/>
      <c r="L86" s="260"/>
      <c r="M86" s="260"/>
      <c r="N86" s="260"/>
    </row>
    <row r="87" spans="1:17" x14ac:dyDescent="0.2">
      <c r="A87" s="22"/>
      <c r="D87" s="102"/>
      <c r="F87" s="27"/>
      <c r="G87" s="84"/>
      <c r="H87" s="84"/>
      <c r="I87" s="84"/>
      <c r="L87" s="260"/>
      <c r="M87" s="260"/>
      <c r="N87" s="260"/>
    </row>
    <row r="88" spans="1:17" s="77" customFormat="1" x14ac:dyDescent="0.2">
      <c r="A88" s="22"/>
      <c r="B88" s="83"/>
      <c r="D88" s="102"/>
      <c r="E88"/>
      <c r="F88" s="27"/>
      <c r="G88" s="85"/>
      <c r="H88" s="85"/>
      <c r="I88" s="85"/>
      <c r="J88" s="85"/>
      <c r="K88" s="90"/>
      <c r="L88" s="260"/>
      <c r="M88" s="260"/>
      <c r="N88" s="260"/>
      <c r="O88" s="85"/>
      <c r="P88" s="85"/>
      <c r="Q88" s="85"/>
    </row>
    <row r="89" spans="1:17" x14ac:dyDescent="0.2">
      <c r="A89" s="22" t="s">
        <v>14</v>
      </c>
      <c r="C89" s="145" t="s">
        <v>110</v>
      </c>
      <c r="D89" s="159">
        <f>SUM(D6)</f>
        <v>4.5856000000000003</v>
      </c>
      <c r="E89" s="145"/>
      <c r="F89" s="160">
        <f>SUM(F6)</f>
        <v>45473</v>
      </c>
      <c r="G89" s="161">
        <v>3295894.73</v>
      </c>
      <c r="H89" s="161">
        <f>SUM(G89)</f>
        <v>3295894.73</v>
      </c>
      <c r="I89" s="161">
        <f>SUM(G89)</f>
        <v>3295894.73</v>
      </c>
      <c r="J89" s="164">
        <v>27212.38</v>
      </c>
      <c r="K89" s="162">
        <f>SUM(J89+O89+P89+Q89)</f>
        <v>87225.16</v>
      </c>
      <c r="L89" s="260"/>
      <c r="M89" s="260"/>
      <c r="N89" s="260"/>
      <c r="O89" s="85">
        <v>22762.15</v>
      </c>
      <c r="P89" s="85">
        <v>37250.629999999997</v>
      </c>
    </row>
    <row r="90" spans="1:17" ht="12" customHeight="1" x14ac:dyDescent="0.2">
      <c r="A90" s="22"/>
      <c r="B90" s="83"/>
      <c r="D90" s="102"/>
      <c r="F90" s="27"/>
      <c r="G90" s="86"/>
      <c r="H90" s="86"/>
      <c r="I90" s="86"/>
      <c r="J90" s="86"/>
      <c r="L90" s="260"/>
      <c r="M90" s="260"/>
      <c r="N90" s="260"/>
      <c r="O90" s="86"/>
      <c r="P90" s="86"/>
      <c r="Q90" s="86"/>
    </row>
    <row r="91" spans="1:17" ht="12" customHeight="1" x14ac:dyDescent="0.2">
      <c r="A91" s="22" t="s">
        <v>7</v>
      </c>
      <c r="C91" s="145" t="s">
        <v>110</v>
      </c>
      <c r="D91" s="159">
        <f>SUM(D6)</f>
        <v>4.5856000000000003</v>
      </c>
      <c r="E91" s="145"/>
      <c r="F91" s="160">
        <f>SUM(F6)</f>
        <v>45473</v>
      </c>
      <c r="G91" s="164">
        <v>193139.68</v>
      </c>
      <c r="H91" s="161">
        <f>SUM(G91)</f>
        <v>193139.68</v>
      </c>
      <c r="I91" s="161">
        <f>SUM(G91)</f>
        <v>193139.68</v>
      </c>
      <c r="J91" s="164">
        <v>1704.52</v>
      </c>
      <c r="K91" s="162">
        <f>SUM(J91+O91+P91+Q91)</f>
        <v>2948.7700000000004</v>
      </c>
      <c r="L91" s="260"/>
      <c r="M91" s="260"/>
      <c r="N91" s="260"/>
      <c r="O91" s="85">
        <v>725.49</v>
      </c>
      <c r="P91" s="85">
        <v>518.76</v>
      </c>
    </row>
    <row r="92" spans="1:17" ht="12" customHeight="1" x14ac:dyDescent="0.2">
      <c r="C92" s="77" t="s">
        <v>128</v>
      </c>
      <c r="D92" s="102">
        <v>5.14</v>
      </c>
      <c r="F92" s="27">
        <f>SUM(F6)</f>
        <v>45473</v>
      </c>
      <c r="G92" s="85">
        <v>8517.6</v>
      </c>
      <c r="H92" s="84">
        <f>SUM(G92)</f>
        <v>8517.6</v>
      </c>
      <c r="I92" s="84">
        <f>SUM(G92)</f>
        <v>8517.6</v>
      </c>
      <c r="J92" s="85">
        <v>167.44</v>
      </c>
      <c r="K92" s="90">
        <f>SUM(J92+O92+P92+Q92)</f>
        <v>387.65</v>
      </c>
      <c r="L92" s="260"/>
      <c r="M92" s="260"/>
      <c r="N92" s="260"/>
      <c r="O92" s="85">
        <v>110.46</v>
      </c>
      <c r="P92" s="85">
        <v>109.75</v>
      </c>
    </row>
    <row r="93" spans="1:17" ht="12" customHeight="1" x14ac:dyDescent="0.2">
      <c r="C93" s="145" t="s">
        <v>186</v>
      </c>
      <c r="D93" s="159">
        <v>5.27</v>
      </c>
      <c r="E93" s="145"/>
      <c r="F93" s="160">
        <f>SUM(F6)</f>
        <v>45473</v>
      </c>
      <c r="G93" s="164">
        <v>430947.02</v>
      </c>
      <c r="H93" s="161">
        <f>SUM(G93)</f>
        <v>430947.02</v>
      </c>
      <c r="I93" s="161">
        <f>SUM(G93)</f>
        <v>430947.02</v>
      </c>
      <c r="J93" s="164">
        <v>5771.38</v>
      </c>
      <c r="K93" s="162">
        <f>SUM(J93+O93+P93+Q93)</f>
        <v>19387.63</v>
      </c>
      <c r="L93" s="260"/>
      <c r="M93" s="260"/>
      <c r="N93" s="260"/>
      <c r="O93" s="85">
        <v>7229.84</v>
      </c>
      <c r="P93" s="85">
        <v>6386.41</v>
      </c>
    </row>
    <row r="94" spans="1:17" ht="12" customHeight="1" x14ac:dyDescent="0.2">
      <c r="C94" s="77" t="s">
        <v>164</v>
      </c>
      <c r="D94" s="102">
        <v>5.25</v>
      </c>
      <c r="F94" s="27">
        <v>45408</v>
      </c>
      <c r="G94" s="92" t="s">
        <v>0</v>
      </c>
      <c r="H94" s="92" t="s">
        <v>0</v>
      </c>
      <c r="I94" s="92" t="s">
        <v>0</v>
      </c>
      <c r="J94" s="85">
        <v>5379.25</v>
      </c>
      <c r="K94" s="90">
        <f>SUM(J94+O94+P94+Q94)</f>
        <v>44755.360000000001</v>
      </c>
      <c r="L94" s="260">
        <v>77674.179999999993</v>
      </c>
      <c r="M94" s="260" t="s">
        <v>236</v>
      </c>
      <c r="N94" s="260">
        <v>1500000</v>
      </c>
      <c r="O94" s="85">
        <v>19795.64</v>
      </c>
      <c r="P94" s="85">
        <v>19580.47</v>
      </c>
    </row>
    <row r="95" spans="1:17" ht="12" customHeight="1" x14ac:dyDescent="0.2">
      <c r="C95" s="145" t="s">
        <v>164</v>
      </c>
      <c r="D95" s="159">
        <v>5.47</v>
      </c>
      <c r="E95" s="145"/>
      <c r="F95" s="160">
        <v>45646</v>
      </c>
      <c r="G95" s="164">
        <v>1500000</v>
      </c>
      <c r="H95" s="164">
        <v>1500000</v>
      </c>
      <c r="I95" s="164">
        <v>1500000</v>
      </c>
      <c r="J95" s="164">
        <v>14611.64</v>
      </c>
      <c r="K95" s="162">
        <f>SUM(J95+O95+P95+Q95)</f>
        <v>14611.64</v>
      </c>
      <c r="L95" s="260"/>
      <c r="M95" s="260"/>
      <c r="N95" s="260"/>
      <c r="O95" s="92">
        <v>0</v>
      </c>
      <c r="P95" s="92">
        <v>0</v>
      </c>
    </row>
    <row r="96" spans="1:17" ht="12" customHeight="1" x14ac:dyDescent="0.2">
      <c r="A96" s="77"/>
      <c r="B96" s="83"/>
      <c r="D96" s="209"/>
      <c r="E96" s="77"/>
      <c r="F96" s="212"/>
      <c r="G96" s="88"/>
      <c r="I96" s="88"/>
      <c r="J96" s="88"/>
      <c r="K96" s="91"/>
      <c r="L96" s="266"/>
      <c r="M96" s="266"/>
      <c r="N96" s="266"/>
      <c r="O96" s="214"/>
      <c r="P96" s="214"/>
    </row>
    <row r="97" spans="1:16" ht="12" customHeight="1" x14ac:dyDescent="0.2">
      <c r="A97" s="77"/>
      <c r="B97" s="83"/>
      <c r="D97" s="209"/>
      <c r="E97" s="77"/>
      <c r="F97" s="212"/>
      <c r="G97" s="88"/>
      <c r="I97" s="88"/>
      <c r="J97" s="88"/>
      <c r="K97" s="91"/>
      <c r="L97" s="266"/>
      <c r="M97" s="266"/>
      <c r="N97" s="266"/>
      <c r="O97" s="214"/>
      <c r="P97" s="214"/>
    </row>
    <row r="98" spans="1:16" ht="12" customHeight="1" x14ac:dyDescent="0.2">
      <c r="A98" s="77"/>
      <c r="B98" s="83"/>
      <c r="D98" s="209"/>
      <c r="E98" s="77"/>
      <c r="F98" s="212"/>
      <c r="G98" s="88"/>
      <c r="I98" s="88"/>
      <c r="J98" s="88"/>
      <c r="K98" s="91"/>
      <c r="L98" s="266"/>
      <c r="M98" s="266"/>
      <c r="N98" s="266"/>
      <c r="O98" s="214"/>
      <c r="P98" s="214"/>
    </row>
    <row r="99" spans="1:16" ht="12" customHeight="1" x14ac:dyDescent="0.2">
      <c r="A99" s="75"/>
      <c r="B99" s="256"/>
      <c r="C99" s="75"/>
      <c r="D99" s="257"/>
      <c r="E99" s="75"/>
      <c r="F99" s="258"/>
      <c r="G99" s="135"/>
      <c r="H99" s="135"/>
      <c r="I99" s="135"/>
      <c r="J99" s="135"/>
      <c r="K99" s="127"/>
      <c r="L99" s="267"/>
      <c r="M99" s="267"/>
      <c r="N99" s="267"/>
      <c r="O99" s="214"/>
      <c r="P99" s="214"/>
    </row>
    <row r="100" spans="1:16" ht="12" customHeight="1" x14ac:dyDescent="0.2">
      <c r="A100" s="77"/>
      <c r="B100" s="83"/>
      <c r="D100" s="209"/>
      <c r="E100" s="77"/>
      <c r="F100" s="212"/>
      <c r="G100" s="88"/>
      <c r="I100" s="88"/>
      <c r="J100" s="88"/>
      <c r="K100" s="91"/>
      <c r="L100" s="266"/>
      <c r="M100" s="266"/>
      <c r="N100" s="266"/>
      <c r="O100" s="214"/>
      <c r="P100" s="214"/>
    </row>
    <row r="101" spans="1:16" ht="12" customHeight="1" x14ac:dyDescent="0.2">
      <c r="A101" s="77"/>
      <c r="B101" s="83"/>
      <c r="D101" s="209"/>
      <c r="E101" s="77"/>
      <c r="F101" s="212"/>
      <c r="G101" s="88"/>
      <c r="I101" s="88"/>
      <c r="J101" s="88"/>
      <c r="K101" s="91"/>
      <c r="L101" s="266"/>
      <c r="M101" s="266"/>
      <c r="N101" s="266"/>
      <c r="O101" s="214"/>
      <c r="P101" s="214"/>
    </row>
    <row r="102" spans="1:16" ht="12" customHeight="1" x14ac:dyDescent="0.2">
      <c r="A102" s="77"/>
      <c r="B102" s="83"/>
      <c r="D102" s="209"/>
      <c r="E102" s="77"/>
      <c r="F102" s="212"/>
      <c r="G102" s="88"/>
      <c r="I102" s="88"/>
      <c r="J102" s="88"/>
      <c r="K102" s="91"/>
      <c r="L102" s="266"/>
      <c r="M102" s="266"/>
      <c r="N102" s="266"/>
      <c r="O102" s="214"/>
      <c r="P102" s="214"/>
    </row>
    <row r="103" spans="1:16" ht="12" customHeight="1" x14ac:dyDescent="0.2">
      <c r="A103" s="77"/>
      <c r="B103" s="83"/>
      <c r="D103" s="209"/>
      <c r="E103" s="77"/>
      <c r="F103" s="212"/>
      <c r="G103" s="88"/>
      <c r="I103" s="88"/>
      <c r="J103" s="88"/>
      <c r="K103" s="91"/>
      <c r="L103" s="266"/>
      <c r="M103" s="266"/>
      <c r="N103" s="266"/>
      <c r="O103" s="214"/>
      <c r="P103" s="214"/>
    </row>
    <row r="104" spans="1:16" ht="12" customHeight="1" x14ac:dyDescent="0.2">
      <c r="A104" s="77"/>
      <c r="B104" s="83"/>
      <c r="D104" s="209"/>
      <c r="E104" s="77"/>
      <c r="F104" s="212"/>
      <c r="G104" s="88"/>
      <c r="I104" s="88"/>
      <c r="J104" s="88"/>
      <c r="K104" s="91"/>
      <c r="L104" s="266"/>
      <c r="M104" s="266"/>
      <c r="N104" s="266"/>
      <c r="O104" s="214"/>
      <c r="P104" s="214"/>
    </row>
    <row r="105" spans="1:16" ht="12" customHeight="1" x14ac:dyDescent="0.2">
      <c r="A105" s="77"/>
      <c r="B105" s="83"/>
      <c r="D105" s="209"/>
      <c r="E105" s="77"/>
      <c r="F105" s="212"/>
      <c r="G105" s="88"/>
      <c r="I105" s="88"/>
      <c r="J105" s="88"/>
      <c r="K105" s="91"/>
      <c r="L105" s="266"/>
      <c r="M105" s="266"/>
      <c r="N105" s="266"/>
      <c r="O105" s="214"/>
      <c r="P105" s="214"/>
    </row>
    <row r="106" spans="1:16" ht="12" customHeight="1" x14ac:dyDescent="0.2">
      <c r="A106" s="77"/>
      <c r="B106" s="83"/>
      <c r="D106" s="209"/>
      <c r="E106" s="77"/>
      <c r="F106" s="212"/>
      <c r="G106" s="88"/>
      <c r="I106" s="88"/>
      <c r="J106" s="88"/>
      <c r="K106" s="91"/>
      <c r="L106" s="266"/>
      <c r="M106" s="266"/>
      <c r="N106" s="266"/>
      <c r="O106" s="214"/>
      <c r="P106" s="214"/>
    </row>
    <row r="107" spans="1:16" ht="12" customHeight="1" x14ac:dyDescent="0.2">
      <c r="A107" s="77"/>
      <c r="B107" s="83"/>
      <c r="D107" s="209"/>
      <c r="E107" s="77"/>
      <c r="F107" s="212"/>
      <c r="G107" s="88"/>
      <c r="I107" s="88"/>
      <c r="J107" s="88"/>
      <c r="K107" s="91"/>
      <c r="L107" s="266"/>
      <c r="M107" s="266"/>
      <c r="N107" s="266"/>
      <c r="O107" s="214"/>
      <c r="P107" s="214"/>
    </row>
    <row r="108" spans="1:16" ht="12" customHeight="1" x14ac:dyDescent="0.2">
      <c r="A108" s="77"/>
      <c r="B108" s="83"/>
      <c r="D108" s="209"/>
      <c r="E108" s="77"/>
      <c r="F108" s="212"/>
      <c r="G108" s="88"/>
      <c r="I108" s="88"/>
      <c r="J108" s="88"/>
      <c r="K108" s="91"/>
      <c r="L108" s="266"/>
      <c r="M108" s="266"/>
      <c r="N108" s="266"/>
      <c r="O108" s="214"/>
      <c r="P108" s="214"/>
    </row>
    <row r="109" spans="1:16" ht="12" customHeight="1" x14ac:dyDescent="0.2">
      <c r="A109" s="77"/>
      <c r="B109" s="83"/>
      <c r="D109" s="209"/>
      <c r="E109" s="77"/>
      <c r="F109" s="212"/>
      <c r="G109" s="88"/>
      <c r="I109" s="88"/>
      <c r="J109" s="88"/>
      <c r="K109" s="91"/>
      <c r="L109" s="266"/>
      <c r="M109" s="266"/>
      <c r="N109" s="266"/>
      <c r="O109" s="214"/>
      <c r="P109" s="214"/>
    </row>
    <row r="110" spans="1:16" ht="12" customHeight="1" x14ac:dyDescent="0.2">
      <c r="A110" s="77"/>
      <c r="B110" s="83"/>
      <c r="D110" s="209"/>
      <c r="E110" s="77"/>
      <c r="F110" s="212"/>
      <c r="G110" s="88"/>
      <c r="I110" s="88"/>
      <c r="J110" s="88"/>
      <c r="K110" s="91"/>
      <c r="L110" s="266"/>
      <c r="M110" s="266"/>
      <c r="N110" s="266"/>
      <c r="O110" s="214"/>
      <c r="P110" s="214"/>
    </row>
    <row r="111" spans="1:16" ht="12" customHeight="1" x14ac:dyDescent="0.2">
      <c r="A111" s="77"/>
      <c r="B111" s="83"/>
      <c r="D111" s="209"/>
      <c r="E111" s="77"/>
      <c r="F111" s="212"/>
      <c r="G111" s="88"/>
      <c r="I111" s="88"/>
      <c r="J111" s="88"/>
      <c r="K111" s="91"/>
      <c r="L111" s="266"/>
      <c r="M111" s="266"/>
      <c r="N111" s="266"/>
      <c r="O111" s="214"/>
      <c r="P111" s="214"/>
    </row>
    <row r="112" spans="1:16" ht="12" customHeight="1" x14ac:dyDescent="0.2">
      <c r="A112" s="77"/>
      <c r="B112" s="83"/>
      <c r="D112" s="209"/>
      <c r="E112" s="77"/>
      <c r="F112" s="212"/>
      <c r="G112" s="88"/>
      <c r="I112" s="88"/>
      <c r="J112" s="88"/>
      <c r="K112" s="91"/>
      <c r="L112" s="266"/>
      <c r="M112" s="266"/>
      <c r="N112" s="266"/>
      <c r="O112" s="214"/>
      <c r="P112" s="214"/>
    </row>
    <row r="113" spans="1:16" ht="12" customHeight="1" x14ac:dyDescent="0.2">
      <c r="A113" s="77"/>
      <c r="B113" s="83"/>
      <c r="D113" s="209"/>
      <c r="E113" s="77"/>
      <c r="F113" s="212"/>
      <c r="G113" s="88"/>
      <c r="I113" s="88"/>
      <c r="J113" s="88"/>
      <c r="K113" s="91"/>
      <c r="L113" s="266"/>
      <c r="M113" s="266"/>
      <c r="N113" s="266"/>
      <c r="O113" s="214"/>
      <c r="P113" s="214"/>
    </row>
    <row r="114" spans="1:16" ht="12" customHeight="1" x14ac:dyDescent="0.2">
      <c r="A114" s="77"/>
      <c r="B114" s="83"/>
      <c r="D114" s="209"/>
      <c r="E114" s="77"/>
      <c r="F114" s="212"/>
      <c r="G114" s="88"/>
      <c r="I114" s="88"/>
      <c r="J114" s="88"/>
      <c r="K114" s="91"/>
      <c r="L114" s="266"/>
      <c r="M114" s="266"/>
      <c r="N114" s="266"/>
      <c r="O114" s="214"/>
      <c r="P114" s="214"/>
    </row>
    <row r="115" spans="1:16" ht="12" customHeight="1" x14ac:dyDescent="0.2">
      <c r="A115" s="77"/>
      <c r="B115" s="83"/>
      <c r="D115" s="209"/>
      <c r="E115" s="77"/>
      <c r="F115" s="212"/>
      <c r="G115" s="88"/>
      <c r="I115" s="88"/>
      <c r="J115" s="88"/>
      <c r="K115" s="91"/>
      <c r="L115" s="266"/>
      <c r="M115" s="266"/>
      <c r="N115" s="266"/>
      <c r="O115" s="214"/>
      <c r="P115" s="214"/>
    </row>
    <row r="116" spans="1:16" ht="12" customHeight="1" x14ac:dyDescent="0.2">
      <c r="A116" s="77"/>
      <c r="B116" s="83"/>
      <c r="D116" s="209"/>
      <c r="E116" s="77"/>
      <c r="F116" s="212"/>
      <c r="G116" s="88"/>
      <c r="I116" s="88"/>
      <c r="J116" s="88"/>
      <c r="K116" s="91"/>
      <c r="L116" s="266"/>
      <c r="M116" s="266"/>
      <c r="N116" s="266"/>
      <c r="O116" s="214"/>
      <c r="P116" s="214"/>
    </row>
    <row r="117" spans="1:16" ht="12" customHeight="1" x14ac:dyDescent="0.2">
      <c r="A117" s="77"/>
      <c r="B117" s="83"/>
      <c r="D117" s="209"/>
      <c r="E117" s="77"/>
      <c r="F117" s="212"/>
      <c r="G117" s="88"/>
      <c r="I117" s="88"/>
      <c r="J117" s="88"/>
      <c r="K117" s="91"/>
      <c r="L117" s="266"/>
      <c r="M117" s="266"/>
      <c r="N117" s="266"/>
      <c r="O117" s="214"/>
      <c r="P117" s="214"/>
    </row>
    <row r="118" spans="1:16" ht="12" customHeight="1" x14ac:dyDescent="0.2">
      <c r="A118" s="77"/>
      <c r="B118" s="83"/>
      <c r="D118" s="209"/>
      <c r="E118" s="77"/>
      <c r="F118" s="212"/>
      <c r="G118" s="88"/>
      <c r="I118" s="88"/>
      <c r="J118" s="88"/>
      <c r="K118" s="91"/>
      <c r="L118" s="266"/>
      <c r="M118" s="266"/>
      <c r="N118" s="266"/>
      <c r="O118" s="214"/>
      <c r="P118" s="214"/>
    </row>
    <row r="119" spans="1:16" ht="12" customHeight="1" x14ac:dyDescent="0.2">
      <c r="A119" s="77"/>
      <c r="B119" s="83"/>
      <c r="D119" s="209"/>
      <c r="E119" s="77"/>
      <c r="F119" s="212"/>
      <c r="G119" s="88"/>
      <c r="I119" s="88"/>
      <c r="J119" s="88"/>
      <c r="K119" s="91"/>
      <c r="L119" s="266"/>
      <c r="M119" s="266"/>
      <c r="N119" s="266"/>
      <c r="O119" s="214"/>
      <c r="P119" s="214"/>
    </row>
    <row r="120" spans="1:16" ht="12" customHeight="1" x14ac:dyDescent="0.2">
      <c r="A120" s="77"/>
      <c r="B120" s="83"/>
      <c r="D120" s="209"/>
      <c r="E120" s="77"/>
      <c r="F120" s="212"/>
      <c r="G120" s="88"/>
      <c r="I120" s="88"/>
      <c r="J120" s="88"/>
      <c r="K120" s="91"/>
      <c r="L120" s="266"/>
      <c r="M120" s="266"/>
      <c r="N120" s="266"/>
      <c r="O120" s="214"/>
      <c r="P120" s="214"/>
    </row>
    <row r="121" spans="1:16" ht="12" customHeight="1" x14ac:dyDescent="0.2">
      <c r="A121" s="77"/>
      <c r="B121" s="83"/>
      <c r="D121" s="209"/>
      <c r="E121" s="77"/>
      <c r="F121" s="212"/>
      <c r="G121" s="88"/>
      <c r="I121" s="88"/>
      <c r="J121" s="88"/>
      <c r="K121" s="91"/>
      <c r="L121" s="266"/>
      <c r="M121" s="266"/>
      <c r="N121" s="266"/>
      <c r="O121" s="214"/>
      <c r="P121" s="214"/>
    </row>
    <row r="122" spans="1:16" ht="12" customHeight="1" x14ac:dyDescent="0.2">
      <c r="A122" s="77"/>
      <c r="B122" s="83"/>
      <c r="D122" s="209"/>
      <c r="E122" s="77"/>
      <c r="F122" s="212"/>
      <c r="G122" s="88"/>
      <c r="I122" s="88"/>
      <c r="J122" s="88"/>
      <c r="K122" s="91"/>
      <c r="L122" s="266"/>
      <c r="M122" s="266"/>
      <c r="N122" s="266"/>
      <c r="O122" s="214"/>
      <c r="P122" s="214"/>
    </row>
    <row r="123" spans="1:16" ht="12" customHeight="1" x14ac:dyDescent="0.2">
      <c r="A123" s="77"/>
      <c r="B123" s="83"/>
      <c r="D123" s="209"/>
      <c r="E123" s="77"/>
      <c r="F123" s="212"/>
      <c r="G123" s="88"/>
      <c r="I123" s="88"/>
      <c r="J123" s="88"/>
      <c r="K123" s="91"/>
      <c r="L123" s="266"/>
      <c r="M123" s="266"/>
      <c r="N123" s="266"/>
      <c r="O123" s="214"/>
      <c r="P123" s="214"/>
    </row>
    <row r="124" spans="1:16" ht="12" customHeight="1" x14ac:dyDescent="0.2">
      <c r="A124" s="77"/>
      <c r="B124" s="83"/>
      <c r="D124" s="209"/>
      <c r="E124" s="77"/>
      <c r="F124" s="212"/>
      <c r="G124" s="88"/>
      <c r="I124" s="88"/>
      <c r="J124" s="88"/>
      <c r="K124" s="91"/>
      <c r="L124" s="266"/>
      <c r="M124" s="266"/>
      <c r="N124" s="266"/>
      <c r="O124" s="214"/>
      <c r="P124" s="214"/>
    </row>
    <row r="125" spans="1:16" ht="12" customHeight="1" x14ac:dyDescent="0.2">
      <c r="A125" s="77"/>
      <c r="B125" s="83"/>
      <c r="D125" s="209"/>
      <c r="E125" s="77"/>
      <c r="F125" s="212"/>
      <c r="G125" s="88"/>
      <c r="I125" s="88"/>
      <c r="J125" s="88"/>
      <c r="K125" s="91"/>
      <c r="L125" s="266"/>
      <c r="M125" s="266"/>
      <c r="N125" s="266"/>
      <c r="O125" s="214"/>
      <c r="P125" s="214"/>
    </row>
    <row r="126" spans="1:16" ht="12" customHeight="1" x14ac:dyDescent="0.2">
      <c r="A126" s="77"/>
      <c r="B126" s="83"/>
      <c r="D126" s="209"/>
      <c r="E126" s="77"/>
      <c r="F126" s="212"/>
      <c r="G126" s="88"/>
      <c r="I126" s="88"/>
      <c r="J126" s="88"/>
      <c r="K126" s="91"/>
      <c r="L126" s="266"/>
      <c r="M126" s="266"/>
      <c r="N126" s="266"/>
      <c r="O126" s="214"/>
      <c r="P126" s="214"/>
    </row>
    <row r="127" spans="1:16" ht="12" customHeight="1" x14ac:dyDescent="0.2">
      <c r="A127" s="77"/>
      <c r="B127" s="83"/>
      <c r="D127" s="209"/>
      <c r="E127" s="77"/>
      <c r="F127" s="212"/>
      <c r="G127" s="88"/>
      <c r="I127" s="88"/>
      <c r="J127" s="88"/>
      <c r="K127" s="91"/>
      <c r="L127" s="266"/>
      <c r="M127" s="266"/>
      <c r="N127" s="266"/>
      <c r="O127" s="214"/>
      <c r="P127" s="214"/>
    </row>
    <row r="128" spans="1:16" ht="12" customHeight="1" x14ac:dyDescent="0.2">
      <c r="A128" s="77"/>
      <c r="B128" s="83"/>
      <c r="D128" s="209"/>
      <c r="E128" s="77"/>
      <c r="F128" s="212"/>
      <c r="G128" s="88"/>
      <c r="I128" s="88"/>
      <c r="J128" s="88"/>
      <c r="K128" s="91"/>
      <c r="L128" s="266"/>
      <c r="M128" s="266"/>
      <c r="N128" s="266"/>
      <c r="O128" s="214"/>
      <c r="P128" s="214"/>
    </row>
    <row r="129" spans="1:18" ht="12" customHeight="1" x14ac:dyDescent="0.2">
      <c r="A129" s="77"/>
      <c r="B129" s="83"/>
      <c r="D129" s="209"/>
      <c r="E129" s="77"/>
      <c r="F129" s="212"/>
      <c r="G129" s="88"/>
      <c r="I129" s="88"/>
      <c r="J129" s="88"/>
      <c r="K129" s="91"/>
      <c r="L129" s="266"/>
      <c r="M129" s="266"/>
      <c r="N129" s="266"/>
      <c r="O129" s="214"/>
      <c r="P129" s="214"/>
    </row>
    <row r="130" spans="1:18" ht="12" customHeight="1" x14ac:dyDescent="0.2">
      <c r="A130" s="77"/>
      <c r="B130" s="83"/>
      <c r="D130" s="209"/>
      <c r="E130" s="77"/>
      <c r="F130" s="212"/>
      <c r="G130" s="88"/>
      <c r="I130" s="88"/>
      <c r="J130" s="88"/>
      <c r="K130" s="91"/>
      <c r="L130" s="266"/>
      <c r="M130" s="266"/>
      <c r="N130" s="266"/>
      <c r="O130" s="214"/>
      <c r="P130" s="214"/>
    </row>
    <row r="131" spans="1:18" ht="12" customHeight="1" x14ac:dyDescent="0.2">
      <c r="A131" s="77"/>
      <c r="B131" s="83"/>
      <c r="D131" s="209"/>
      <c r="E131" s="77"/>
      <c r="F131" s="212"/>
      <c r="G131" s="88"/>
      <c r="I131" s="88"/>
      <c r="J131" s="88"/>
      <c r="K131" s="91"/>
      <c r="L131" s="266"/>
      <c r="M131" s="266"/>
      <c r="N131" s="266"/>
      <c r="O131" s="214"/>
      <c r="P131" s="214"/>
    </row>
    <row r="132" spans="1:18" ht="12" customHeight="1" x14ac:dyDescent="0.2">
      <c r="A132" s="77"/>
      <c r="B132" s="83"/>
      <c r="D132" s="209"/>
      <c r="E132" s="77"/>
      <c r="F132" s="212"/>
      <c r="G132" s="88"/>
      <c r="I132" s="88"/>
      <c r="J132" s="88"/>
      <c r="K132" s="91"/>
      <c r="L132" s="266"/>
      <c r="M132" s="266"/>
      <c r="N132" s="266"/>
      <c r="O132" s="214"/>
      <c r="P132" s="214"/>
    </row>
    <row r="133" spans="1:18" ht="12" customHeight="1" x14ac:dyDescent="0.2">
      <c r="A133" s="77"/>
      <c r="B133" s="83"/>
      <c r="D133" s="209"/>
      <c r="E133" s="77"/>
      <c r="F133" s="212"/>
      <c r="G133" s="88"/>
      <c r="I133" s="88"/>
      <c r="J133" s="88"/>
      <c r="K133" s="91"/>
      <c r="L133" s="266"/>
      <c r="M133" s="266"/>
      <c r="N133" s="266"/>
      <c r="O133" s="214"/>
      <c r="P133" s="214"/>
    </row>
    <row r="134" spans="1:18" s="22" customFormat="1" ht="10.9" customHeight="1" x14ac:dyDescent="0.2">
      <c r="B134" s="140"/>
      <c r="C134" s="75"/>
      <c r="D134" s="141"/>
      <c r="F134" s="23"/>
      <c r="G134" s="73"/>
      <c r="H134" s="127"/>
      <c r="I134" s="127"/>
      <c r="J134" s="105"/>
      <c r="K134" s="129"/>
      <c r="L134" s="268"/>
      <c r="M134" s="268"/>
      <c r="N134" s="268"/>
      <c r="O134" s="105"/>
      <c r="P134" s="105"/>
      <c r="Q134" s="105"/>
    </row>
    <row r="135" spans="1:18" s="22" customFormat="1" ht="10.9" customHeight="1" x14ac:dyDescent="0.2">
      <c r="B135" s="140"/>
      <c r="C135" s="75"/>
      <c r="D135" s="141"/>
      <c r="F135" s="23"/>
      <c r="G135" s="73"/>
      <c r="H135" s="127"/>
      <c r="I135" s="127"/>
      <c r="J135" s="105"/>
      <c r="K135" s="129"/>
      <c r="L135" s="268"/>
      <c r="M135" s="268"/>
      <c r="N135" s="268"/>
      <c r="O135" s="105"/>
      <c r="P135" s="105"/>
      <c r="Q135" s="105"/>
    </row>
    <row r="136" spans="1:18" s="22" customFormat="1" ht="11.25" customHeight="1" x14ac:dyDescent="0.2">
      <c r="A136" s="22" t="s">
        <v>15</v>
      </c>
      <c r="B136" s="68"/>
      <c r="C136" s="75" t="s">
        <v>118</v>
      </c>
      <c r="D136" s="143"/>
      <c r="F136" s="42"/>
      <c r="G136" s="117">
        <f>SUM(G137:G170)</f>
        <v>14744533.610000003</v>
      </c>
      <c r="H136" s="117">
        <f>SUM(H137:H170)</f>
        <v>14744533.610000003</v>
      </c>
      <c r="I136" s="117">
        <f>SUM(I137:I170)</f>
        <v>14744533.610000003</v>
      </c>
      <c r="J136" s="117">
        <f>SUM(J137:J170)</f>
        <v>133266.11999999997</v>
      </c>
      <c r="K136" s="119">
        <f>SUM(J136+O136+P136+Q136)</f>
        <v>133266.11999999997</v>
      </c>
      <c r="L136" s="269"/>
      <c r="M136" s="269"/>
      <c r="N136" s="269"/>
      <c r="O136" s="118"/>
      <c r="P136" s="118"/>
      <c r="Q136" s="118"/>
      <c r="R136" s="118"/>
    </row>
    <row r="137" spans="1:18" s="22" customFormat="1" ht="11.25" customHeight="1" x14ac:dyDescent="0.2">
      <c r="A137" s="46"/>
      <c r="B137" s="186"/>
      <c r="C137" s="177" t="s">
        <v>93</v>
      </c>
      <c r="D137" s="178">
        <f>SUM(D6)</f>
        <v>4.5856000000000003</v>
      </c>
      <c r="E137" s="179"/>
      <c r="F137" s="180">
        <f>SUM(F6)</f>
        <v>45473</v>
      </c>
      <c r="G137" s="181">
        <v>2987232.69</v>
      </c>
      <c r="H137" s="205">
        <f>SUM(G137)</f>
        <v>2987232.69</v>
      </c>
      <c r="I137" s="182">
        <f t="shared" ref="I137:I144" si="6">SUM(G137)</f>
        <v>2987232.69</v>
      </c>
      <c r="J137" s="181">
        <v>19332.59</v>
      </c>
      <c r="K137" s="183">
        <f>SUM(J137+O137+P137+Q137)</f>
        <v>49471.92</v>
      </c>
      <c r="L137" s="260"/>
      <c r="M137" s="260"/>
      <c r="N137" s="260"/>
      <c r="O137" s="36">
        <v>15252.22</v>
      </c>
      <c r="P137" s="36">
        <v>14887.11</v>
      </c>
      <c r="Q137" s="36"/>
      <c r="R137" s="77"/>
    </row>
    <row r="138" spans="1:18" s="22" customFormat="1" ht="11.25" customHeight="1" x14ac:dyDescent="0.2">
      <c r="A138" s="95" t="s">
        <v>34</v>
      </c>
      <c r="B138" s="68"/>
      <c r="C138" s="94" t="s">
        <v>35</v>
      </c>
      <c r="D138" s="102">
        <f>SUM(D6)</f>
        <v>4.5856000000000003</v>
      </c>
      <c r="E138" s="96"/>
      <c r="F138" s="27">
        <f>SUM(F137)</f>
        <v>45473</v>
      </c>
      <c r="G138" s="36">
        <v>136229.73000000001</v>
      </c>
      <c r="H138" s="84">
        <f t="shared" ref="H138:H144" si="7">SUM(G138)</f>
        <v>136229.73000000001</v>
      </c>
      <c r="I138" s="84">
        <f t="shared" si="6"/>
        <v>136229.73000000001</v>
      </c>
      <c r="J138" s="36">
        <v>1161.18</v>
      </c>
      <c r="K138" s="91">
        <f>SUM(J138+O138+P138+Q138)</f>
        <v>3404.8900000000003</v>
      </c>
      <c r="L138" s="260"/>
      <c r="M138" s="260"/>
      <c r="N138" s="260"/>
      <c r="O138" s="36">
        <v>1102.95</v>
      </c>
      <c r="P138" s="36">
        <v>1140.76</v>
      </c>
      <c r="Q138" s="36"/>
      <c r="R138" s="77"/>
    </row>
    <row r="139" spans="1:18" s="22" customFormat="1" ht="11.25" customHeight="1" x14ac:dyDescent="0.2">
      <c r="A139" s="95"/>
      <c r="B139" s="186"/>
      <c r="C139" s="177" t="s">
        <v>109</v>
      </c>
      <c r="D139" s="178">
        <v>4.5860000000000003</v>
      </c>
      <c r="E139" s="184"/>
      <c r="F139" s="180">
        <f>SUM(F137)</f>
        <v>45473</v>
      </c>
      <c r="G139" s="185">
        <v>0</v>
      </c>
      <c r="H139" s="182">
        <f t="shared" si="7"/>
        <v>0</v>
      </c>
      <c r="I139" s="182">
        <f t="shared" si="6"/>
        <v>0</v>
      </c>
      <c r="J139" s="181">
        <v>0</v>
      </c>
      <c r="K139" s="183">
        <f>SUM(J139+O139+P139+Q139)</f>
        <v>160.70999999999998</v>
      </c>
      <c r="L139" s="260"/>
      <c r="M139" s="260"/>
      <c r="N139" s="260"/>
      <c r="O139" s="36">
        <v>96.05</v>
      </c>
      <c r="P139" s="36">
        <v>64.66</v>
      </c>
      <c r="Q139" s="36"/>
      <c r="R139" s="77"/>
    </row>
    <row r="140" spans="1:18" s="22" customFormat="1" ht="11.25" customHeight="1" x14ac:dyDescent="0.2">
      <c r="A140" s="46"/>
      <c r="B140" s="68"/>
      <c r="C140" s="94" t="s">
        <v>116</v>
      </c>
      <c r="D140" s="102">
        <v>4.5860000000000003</v>
      </c>
      <c r="E140" s="96"/>
      <c r="F140" s="27">
        <f>SUM(F137)</f>
        <v>45473</v>
      </c>
      <c r="G140" s="36">
        <v>17956.5</v>
      </c>
      <c r="H140" s="84">
        <f t="shared" si="7"/>
        <v>17956.5</v>
      </c>
      <c r="I140" s="84">
        <f t="shared" si="6"/>
        <v>17956.5</v>
      </c>
      <c r="J140" s="36" t="s">
        <v>154</v>
      </c>
      <c r="K140" s="36" t="s">
        <v>90</v>
      </c>
      <c r="L140" s="265"/>
      <c r="M140" s="265"/>
      <c r="N140" s="265"/>
      <c r="O140" s="36">
        <v>0</v>
      </c>
      <c r="P140" s="36">
        <v>0</v>
      </c>
      <c r="Q140" s="36"/>
      <c r="R140" s="77"/>
    </row>
    <row r="141" spans="1:18" s="22" customFormat="1" ht="11.25" customHeight="1" x14ac:dyDescent="0.2">
      <c r="A141" s="26"/>
      <c r="B141" s="186"/>
      <c r="C141" s="177" t="s">
        <v>91</v>
      </c>
      <c r="D141" s="178">
        <v>4.5860000000000003</v>
      </c>
      <c r="E141" s="184"/>
      <c r="F141" s="180">
        <f>SUM(F137)</f>
        <v>45473</v>
      </c>
      <c r="G141" s="185">
        <v>486514.66</v>
      </c>
      <c r="H141" s="182">
        <f t="shared" si="7"/>
        <v>486514.66</v>
      </c>
      <c r="I141" s="182">
        <f t="shared" si="6"/>
        <v>486514.66</v>
      </c>
      <c r="J141" s="181">
        <v>4241.55</v>
      </c>
      <c r="K141" s="183">
        <f>SUM(J141+O141+P141+Q141)</f>
        <v>12852.23</v>
      </c>
      <c r="L141" s="260"/>
      <c r="M141" s="260"/>
      <c r="N141" s="260"/>
      <c r="O141" s="36">
        <v>4291.0600000000004</v>
      </c>
      <c r="P141" s="36">
        <v>4319.62</v>
      </c>
      <c r="Q141" s="36"/>
      <c r="R141" s="77"/>
    </row>
    <row r="142" spans="1:18" s="22" customFormat="1" ht="11.25" customHeight="1" x14ac:dyDescent="0.2">
      <c r="A142" s="46"/>
      <c r="B142" s="68"/>
      <c r="C142" s="94" t="s">
        <v>36</v>
      </c>
      <c r="D142" s="102">
        <v>4.5860000000000003</v>
      </c>
      <c r="E142" s="96"/>
      <c r="F142" s="27">
        <f>SUM(F137)</f>
        <v>45473</v>
      </c>
      <c r="G142" s="97">
        <v>247594.25</v>
      </c>
      <c r="H142" s="84">
        <f t="shared" si="7"/>
        <v>247594.25</v>
      </c>
      <c r="I142" s="84">
        <f t="shared" si="6"/>
        <v>247594.25</v>
      </c>
      <c r="J142" s="36">
        <v>2114.2199999999998</v>
      </c>
      <c r="K142" s="91">
        <f>SUM(J142+O142+P142+Q142)</f>
        <v>6614.3599999999988</v>
      </c>
      <c r="L142" s="260"/>
      <c r="M142" s="260"/>
      <c r="N142" s="260"/>
      <c r="O142" s="36">
        <v>2284.9899999999998</v>
      </c>
      <c r="P142" s="36">
        <v>2215.15</v>
      </c>
      <c r="Q142" s="36"/>
      <c r="R142" s="77"/>
    </row>
    <row r="143" spans="1:18" s="22" customFormat="1" ht="11.25" customHeight="1" x14ac:dyDescent="0.2">
      <c r="A143" s="46"/>
      <c r="B143" s="186"/>
      <c r="C143" s="177" t="s">
        <v>143</v>
      </c>
      <c r="D143" s="178">
        <v>4.5860000000000003</v>
      </c>
      <c r="E143" s="184"/>
      <c r="F143" s="180">
        <f>SUM(F137)</f>
        <v>45473</v>
      </c>
      <c r="G143" s="185">
        <v>172527.02</v>
      </c>
      <c r="H143" s="182">
        <f t="shared" si="7"/>
        <v>172527.02</v>
      </c>
      <c r="I143" s="182">
        <f t="shared" si="6"/>
        <v>172527.02</v>
      </c>
      <c r="J143" s="181" t="s">
        <v>154</v>
      </c>
      <c r="K143" s="181" t="s">
        <v>90</v>
      </c>
      <c r="L143" s="265"/>
      <c r="M143" s="265"/>
      <c r="N143" s="265"/>
      <c r="O143" s="36">
        <v>0</v>
      </c>
      <c r="P143" s="36">
        <v>0</v>
      </c>
      <c r="Q143" s="36"/>
      <c r="R143"/>
    </row>
    <row r="144" spans="1:18" s="22" customFormat="1" ht="11.25" customHeight="1" x14ac:dyDescent="0.2">
      <c r="A144" s="46"/>
      <c r="B144" s="68"/>
      <c r="C144" s="43" t="s">
        <v>144</v>
      </c>
      <c r="D144" s="102">
        <v>4.5860000000000003</v>
      </c>
      <c r="E144" s="30"/>
      <c r="F144" s="27">
        <f>SUM(F137)</f>
        <v>45473</v>
      </c>
      <c r="G144" s="19">
        <v>671891.24</v>
      </c>
      <c r="H144" s="84">
        <f t="shared" si="7"/>
        <v>671891.24</v>
      </c>
      <c r="I144" s="84">
        <f t="shared" si="6"/>
        <v>671891.24</v>
      </c>
      <c r="J144" s="36" t="s">
        <v>154</v>
      </c>
      <c r="K144" s="36" t="s">
        <v>90</v>
      </c>
      <c r="L144" s="265"/>
      <c r="M144" s="265"/>
      <c r="N144" s="265"/>
      <c r="O144" s="36">
        <v>0</v>
      </c>
      <c r="P144" s="36">
        <v>0</v>
      </c>
      <c r="Q144" s="36"/>
      <c r="R144"/>
    </row>
    <row r="145" spans="1:18" s="22" customFormat="1" ht="11.25" customHeight="1" x14ac:dyDescent="0.2">
      <c r="A145" s="46"/>
      <c r="B145" s="186"/>
      <c r="C145" s="177" t="s">
        <v>145</v>
      </c>
      <c r="D145" s="178">
        <v>4.5860000000000003</v>
      </c>
      <c r="E145" s="184"/>
      <c r="F145" s="180">
        <f>SUM(F137)</f>
        <v>45473</v>
      </c>
      <c r="G145" s="185">
        <v>0</v>
      </c>
      <c r="H145" s="185">
        <v>0</v>
      </c>
      <c r="I145" s="185">
        <v>0</v>
      </c>
      <c r="J145" s="181" t="s">
        <v>154</v>
      </c>
      <c r="K145" s="181" t="s">
        <v>90</v>
      </c>
      <c r="L145" s="265"/>
      <c r="M145" s="265"/>
      <c r="N145" s="265"/>
      <c r="O145" s="36">
        <v>0</v>
      </c>
      <c r="P145" s="36">
        <v>0</v>
      </c>
      <c r="Q145" s="36"/>
      <c r="R145"/>
    </row>
    <row r="146" spans="1:18" s="22" customFormat="1" ht="11.25" customHeight="1" x14ac:dyDescent="0.2">
      <c r="A146" s="46"/>
      <c r="B146" s="68"/>
      <c r="C146" s="94" t="s">
        <v>147</v>
      </c>
      <c r="D146" s="102">
        <v>4.5860000000000003</v>
      </c>
      <c r="E146" s="96"/>
      <c r="F146" s="27">
        <f>SUM(F137)</f>
        <v>45473</v>
      </c>
      <c r="G146" s="19">
        <v>6831.7</v>
      </c>
      <c r="H146" s="84">
        <f>SUM(G146)</f>
        <v>6831.7</v>
      </c>
      <c r="I146" s="84">
        <f>SUM(G146)</f>
        <v>6831.7</v>
      </c>
      <c r="J146" s="36" t="s">
        <v>154</v>
      </c>
      <c r="K146" s="36" t="s">
        <v>90</v>
      </c>
      <c r="L146" s="265"/>
      <c r="M146" s="265"/>
      <c r="N146" s="265"/>
      <c r="O146" s="36">
        <v>0</v>
      </c>
      <c r="P146" s="36">
        <v>0</v>
      </c>
      <c r="Q146" s="36"/>
      <c r="R146"/>
    </row>
    <row r="147" spans="1:18" s="22" customFormat="1" ht="11.25" customHeight="1" x14ac:dyDescent="0.2">
      <c r="A147" s="46"/>
      <c r="B147" s="186"/>
      <c r="C147" s="177" t="s">
        <v>146</v>
      </c>
      <c r="D147" s="178">
        <v>4.5860000000000003</v>
      </c>
      <c r="E147" s="184"/>
      <c r="F147" s="180">
        <f>SUM(F137)</f>
        <v>45473</v>
      </c>
      <c r="G147" s="185">
        <v>5653.68</v>
      </c>
      <c r="H147" s="182">
        <f>SUM(G147)</f>
        <v>5653.68</v>
      </c>
      <c r="I147" s="182">
        <f>SUM(G147)</f>
        <v>5653.68</v>
      </c>
      <c r="J147" s="181" t="s">
        <v>154</v>
      </c>
      <c r="K147" s="181" t="s">
        <v>90</v>
      </c>
      <c r="L147" s="265"/>
      <c r="M147" s="265"/>
      <c r="N147" s="265"/>
      <c r="O147" s="36">
        <v>0</v>
      </c>
      <c r="P147" s="36">
        <v>0</v>
      </c>
      <c r="Q147" s="36"/>
      <c r="R147"/>
    </row>
    <row r="148" spans="1:18" s="22" customFormat="1" ht="11.25" customHeight="1" x14ac:dyDescent="0.2">
      <c r="A148" s="46"/>
      <c r="B148" s="68"/>
      <c r="C148" s="94" t="s">
        <v>148</v>
      </c>
      <c r="D148" s="102">
        <v>4.5860000000000003</v>
      </c>
      <c r="E148" s="96"/>
      <c r="F148" s="27">
        <f>SUM(F137)</f>
        <v>45473</v>
      </c>
      <c r="G148" s="19">
        <v>0</v>
      </c>
      <c r="H148" s="19">
        <v>0</v>
      </c>
      <c r="I148" s="19">
        <v>0</v>
      </c>
      <c r="J148" s="36" t="s">
        <v>154</v>
      </c>
      <c r="K148" s="36" t="s">
        <v>90</v>
      </c>
      <c r="L148" s="265"/>
      <c r="M148" s="265"/>
      <c r="N148" s="265"/>
      <c r="O148" s="36">
        <v>0</v>
      </c>
      <c r="P148" s="36">
        <v>0</v>
      </c>
      <c r="Q148" s="36"/>
      <c r="R148"/>
    </row>
    <row r="149" spans="1:18" s="22" customFormat="1" ht="11.25" customHeight="1" x14ac:dyDescent="0.2">
      <c r="A149" s="46"/>
      <c r="B149" s="186"/>
      <c r="C149" s="177" t="s">
        <v>149</v>
      </c>
      <c r="D149" s="178">
        <v>4.5860000000000003</v>
      </c>
      <c r="E149" s="184"/>
      <c r="F149" s="180">
        <f>SUM(F137)</f>
        <v>45473</v>
      </c>
      <c r="G149" s="185">
        <v>20636.47</v>
      </c>
      <c r="H149" s="182">
        <f t="shared" ref="H149:H160" si="8">SUM(G149)</f>
        <v>20636.47</v>
      </c>
      <c r="I149" s="182">
        <f t="shared" ref="I149:I160" si="9">SUM(G149)</f>
        <v>20636.47</v>
      </c>
      <c r="J149" s="181" t="s">
        <v>154</v>
      </c>
      <c r="K149" s="181" t="s">
        <v>90</v>
      </c>
      <c r="L149" s="265"/>
      <c r="M149" s="265"/>
      <c r="N149" s="265"/>
      <c r="O149" s="36">
        <v>0</v>
      </c>
      <c r="P149" s="36">
        <v>0</v>
      </c>
      <c r="Q149" s="36"/>
      <c r="R149"/>
    </row>
    <row r="150" spans="1:18" s="22" customFormat="1" ht="11.25" customHeight="1" x14ac:dyDescent="0.2">
      <c r="A150" s="46"/>
      <c r="B150" s="68"/>
      <c r="C150" s="94" t="s">
        <v>150</v>
      </c>
      <c r="D150" s="102">
        <v>4.5860000000000003</v>
      </c>
      <c r="E150" s="96"/>
      <c r="F150" s="27">
        <f>SUM(F137)</f>
        <v>45473</v>
      </c>
      <c r="G150" s="19">
        <v>1064521.53</v>
      </c>
      <c r="H150" s="84">
        <f t="shared" si="8"/>
        <v>1064521.53</v>
      </c>
      <c r="I150" s="84">
        <f t="shared" si="9"/>
        <v>1064521.53</v>
      </c>
      <c r="J150" s="36" t="s">
        <v>154</v>
      </c>
      <c r="K150" s="36" t="s">
        <v>90</v>
      </c>
      <c r="L150" s="265"/>
      <c r="M150" s="265"/>
      <c r="N150" s="265"/>
      <c r="O150" s="36">
        <v>0</v>
      </c>
      <c r="P150" s="36">
        <v>0</v>
      </c>
      <c r="Q150" s="36"/>
      <c r="R150"/>
    </row>
    <row r="151" spans="1:18" s="22" customFormat="1" ht="11.25" customHeight="1" x14ac:dyDescent="0.2">
      <c r="A151" s="46"/>
      <c r="B151" s="186"/>
      <c r="C151" s="177" t="s">
        <v>202</v>
      </c>
      <c r="D151" s="178">
        <v>4.5860000000000003</v>
      </c>
      <c r="E151" s="184"/>
      <c r="F151" s="180">
        <f>SUM(F137)</f>
        <v>45473</v>
      </c>
      <c r="G151" s="185">
        <v>13372.36</v>
      </c>
      <c r="H151" s="182">
        <f t="shared" si="8"/>
        <v>13372.36</v>
      </c>
      <c r="I151" s="182">
        <f t="shared" si="9"/>
        <v>13372.36</v>
      </c>
      <c r="J151" s="181">
        <v>0</v>
      </c>
      <c r="K151" s="183">
        <f>SUM(J151+O151+P151+Q151)</f>
        <v>0</v>
      </c>
      <c r="L151" s="260"/>
      <c r="M151" s="260"/>
      <c r="N151" s="260"/>
      <c r="O151" s="36">
        <v>0</v>
      </c>
      <c r="P151" s="36">
        <v>0</v>
      </c>
      <c r="Q151" s="36"/>
      <c r="R151"/>
    </row>
    <row r="152" spans="1:18" s="22" customFormat="1" ht="11.25" customHeight="1" x14ac:dyDescent="0.2">
      <c r="A152" s="95"/>
      <c r="B152" s="104"/>
      <c r="C152" s="43" t="s">
        <v>37</v>
      </c>
      <c r="D152" s="102">
        <v>4.5860000000000003</v>
      </c>
      <c r="E152" s="30"/>
      <c r="F152" s="27">
        <f>SUM(F137)</f>
        <v>45473</v>
      </c>
      <c r="G152" s="19">
        <v>443827.95</v>
      </c>
      <c r="H152" s="84">
        <f t="shared" si="8"/>
        <v>443827.95</v>
      </c>
      <c r="I152" s="84">
        <f t="shared" si="9"/>
        <v>443827.95</v>
      </c>
      <c r="J152" s="36">
        <v>4088.42</v>
      </c>
      <c r="K152" s="90">
        <f>SUM(J152+O152+P152+Q152)</f>
        <v>12021.61</v>
      </c>
      <c r="L152" s="260"/>
      <c r="M152" s="260"/>
      <c r="N152" s="260"/>
      <c r="O152" s="36">
        <v>3700.99</v>
      </c>
      <c r="P152" s="36">
        <v>4232.2</v>
      </c>
      <c r="Q152" s="36"/>
      <c r="R152"/>
    </row>
    <row r="153" spans="1:18" s="22" customFormat="1" ht="11.25" customHeight="1" x14ac:dyDescent="0.2">
      <c r="A153" s="95"/>
      <c r="B153" s="186"/>
      <c r="C153" s="177" t="s">
        <v>121</v>
      </c>
      <c r="D153" s="178">
        <v>4.5860000000000003</v>
      </c>
      <c r="E153" s="184"/>
      <c r="F153" s="180">
        <f>SUM(F137)</f>
        <v>45473</v>
      </c>
      <c r="G153" s="185">
        <v>75342.11</v>
      </c>
      <c r="H153" s="182">
        <f t="shared" si="8"/>
        <v>75342.11</v>
      </c>
      <c r="I153" s="182">
        <f t="shared" si="9"/>
        <v>75342.11</v>
      </c>
      <c r="J153" s="181">
        <v>653.1</v>
      </c>
      <c r="K153" s="183">
        <f>SUM(J153+O153+P153+Q153)</f>
        <v>1954.37</v>
      </c>
      <c r="L153" s="260"/>
      <c r="M153" s="260"/>
      <c r="N153" s="260"/>
      <c r="O153" s="36">
        <v>642.62</v>
      </c>
      <c r="P153" s="36">
        <v>658.65</v>
      </c>
      <c r="Q153" s="36"/>
      <c r="R153"/>
    </row>
    <row r="154" spans="1:18" s="22" customFormat="1" ht="11.25" customHeight="1" x14ac:dyDescent="0.2">
      <c r="A154" s="95"/>
      <c r="B154" s="104"/>
      <c r="C154" s="43" t="s">
        <v>151</v>
      </c>
      <c r="D154" s="102">
        <v>4.5860000000000003</v>
      </c>
      <c r="E154" s="96"/>
      <c r="F154" s="27">
        <f>SUM(F137)</f>
        <v>45473</v>
      </c>
      <c r="G154" s="121">
        <v>31030.36</v>
      </c>
      <c r="H154" s="84">
        <f t="shared" si="8"/>
        <v>31030.36</v>
      </c>
      <c r="I154" s="84">
        <f t="shared" si="9"/>
        <v>31030.36</v>
      </c>
      <c r="J154" s="36" t="s">
        <v>154</v>
      </c>
      <c r="K154" s="36" t="s">
        <v>90</v>
      </c>
      <c r="L154" s="265"/>
      <c r="M154" s="265"/>
      <c r="N154" s="265"/>
      <c r="O154" s="36">
        <v>0</v>
      </c>
      <c r="P154" s="36">
        <v>0</v>
      </c>
      <c r="Q154" s="36"/>
      <c r="R154"/>
    </row>
    <row r="155" spans="1:18" s="22" customFormat="1" ht="11.25" customHeight="1" x14ac:dyDescent="0.2">
      <c r="A155" s="46"/>
      <c r="B155" s="186"/>
      <c r="C155" s="177" t="s">
        <v>38</v>
      </c>
      <c r="D155" s="178">
        <v>4.5860000000000003</v>
      </c>
      <c r="E155" s="184"/>
      <c r="F155" s="180">
        <f>SUM(F137)</f>
        <v>45473</v>
      </c>
      <c r="G155" s="185">
        <v>92804.04</v>
      </c>
      <c r="H155" s="182">
        <f t="shared" si="8"/>
        <v>92804.04</v>
      </c>
      <c r="I155" s="182">
        <f t="shared" si="9"/>
        <v>92804.04</v>
      </c>
      <c r="J155" s="181">
        <v>1047.9100000000001</v>
      </c>
      <c r="K155" s="183">
        <f t="shared" ref="K155:K160" si="10">SUM(J155+O155+P155+Q155)</f>
        <v>4279.91</v>
      </c>
      <c r="L155" s="260"/>
      <c r="M155" s="260"/>
      <c r="N155" s="260"/>
      <c r="O155" s="36">
        <v>1779.42</v>
      </c>
      <c r="P155" s="36">
        <v>1452.58</v>
      </c>
      <c r="Q155" s="36"/>
    </row>
    <row r="156" spans="1:18" s="22" customFormat="1" ht="11.25" customHeight="1" x14ac:dyDescent="0.2">
      <c r="A156" s="46"/>
      <c r="B156" s="68"/>
      <c r="C156" s="94" t="s">
        <v>152</v>
      </c>
      <c r="D156" s="102">
        <v>4.5860000000000003</v>
      </c>
      <c r="E156" s="96"/>
      <c r="F156" s="27">
        <f>SUM(F137)</f>
        <v>45473</v>
      </c>
      <c r="G156" s="121">
        <v>326872.48</v>
      </c>
      <c r="H156" s="84">
        <f t="shared" si="8"/>
        <v>326872.48</v>
      </c>
      <c r="I156" s="84">
        <f t="shared" si="9"/>
        <v>326872.48</v>
      </c>
      <c r="J156" s="36">
        <v>2522.59</v>
      </c>
      <c r="K156" s="91">
        <f t="shared" si="10"/>
        <v>6381.87</v>
      </c>
      <c r="L156" s="260"/>
      <c r="M156" s="260"/>
      <c r="N156" s="260"/>
      <c r="O156" s="36">
        <v>1836.83</v>
      </c>
      <c r="P156" s="36">
        <v>2022.45</v>
      </c>
      <c r="Q156" s="36"/>
    </row>
    <row r="157" spans="1:18" s="22" customFormat="1" ht="11.25" customHeight="1" x14ac:dyDescent="0.2">
      <c r="A157" s="46"/>
      <c r="B157" s="187"/>
      <c r="C157" s="177" t="s">
        <v>124</v>
      </c>
      <c r="D157" s="178">
        <v>4.5860000000000003</v>
      </c>
      <c r="E157" s="184"/>
      <c r="F157" s="180">
        <f>SUM(F137)</f>
        <v>45473</v>
      </c>
      <c r="G157" s="185">
        <f>962430.78</f>
        <v>962430.78</v>
      </c>
      <c r="H157" s="182">
        <f t="shared" si="8"/>
        <v>962430.78</v>
      </c>
      <c r="I157" s="182">
        <f t="shared" si="9"/>
        <v>962430.78</v>
      </c>
      <c r="J157" s="181">
        <f>5649.64+52.13+2183.25</f>
        <v>7885.02</v>
      </c>
      <c r="K157" s="183">
        <f t="shared" si="10"/>
        <v>25753.200000000001</v>
      </c>
      <c r="L157" s="260"/>
      <c r="M157" s="260"/>
      <c r="N157" s="260"/>
      <c r="O157" s="36">
        <v>9418.3799999999992</v>
      </c>
      <c r="P157" s="36">
        <v>8449.7999999999993</v>
      </c>
      <c r="Q157" s="36"/>
      <c r="R157"/>
    </row>
    <row r="158" spans="1:18" s="22" customFormat="1" ht="11.25" customHeight="1" x14ac:dyDescent="0.2">
      <c r="A158" s="46"/>
      <c r="B158" s="93"/>
      <c r="C158" s="94" t="s">
        <v>39</v>
      </c>
      <c r="D158" s="102">
        <v>4.5860000000000003</v>
      </c>
      <c r="E158" s="96"/>
      <c r="F158" s="27">
        <f>SUM(F137)</f>
        <v>45473</v>
      </c>
      <c r="G158" s="97">
        <v>673.61</v>
      </c>
      <c r="H158" s="84">
        <f t="shared" si="8"/>
        <v>673.61</v>
      </c>
      <c r="I158" s="84">
        <f t="shared" si="9"/>
        <v>673.61</v>
      </c>
      <c r="J158" s="36">
        <v>11.2</v>
      </c>
      <c r="K158" s="91">
        <f t="shared" si="10"/>
        <v>178.85999999999999</v>
      </c>
      <c r="L158" s="260"/>
      <c r="M158" s="260"/>
      <c r="N158" s="260"/>
      <c r="O158" s="36">
        <v>155.59</v>
      </c>
      <c r="P158" s="36">
        <v>12.07</v>
      </c>
      <c r="Q158" s="36"/>
      <c r="R158"/>
    </row>
    <row r="159" spans="1:18" s="22" customFormat="1" ht="11.25" customHeight="1" x14ac:dyDescent="0.2">
      <c r="A159" s="46"/>
      <c r="B159" s="187"/>
      <c r="C159" s="177" t="s">
        <v>40</v>
      </c>
      <c r="D159" s="178">
        <v>4.5860000000000003</v>
      </c>
      <c r="E159" s="184"/>
      <c r="F159" s="180">
        <f>SUM(F137)</f>
        <v>45473</v>
      </c>
      <c r="G159" s="181">
        <v>198391.87</v>
      </c>
      <c r="H159" s="182">
        <f t="shared" si="8"/>
        <v>198391.87</v>
      </c>
      <c r="I159" s="182">
        <f t="shared" si="9"/>
        <v>198391.87</v>
      </c>
      <c r="J159" s="181">
        <v>1854.01</v>
      </c>
      <c r="K159" s="183">
        <f t="shared" si="10"/>
        <v>5674.93</v>
      </c>
      <c r="L159" s="260"/>
      <c r="M159" s="260"/>
      <c r="N159" s="260"/>
      <c r="O159" s="36">
        <v>1867.82</v>
      </c>
      <c r="P159" s="36">
        <v>1953.1</v>
      </c>
      <c r="Q159" s="36"/>
      <c r="R159"/>
    </row>
    <row r="160" spans="1:18" s="22" customFormat="1" ht="11.25" customHeight="1" x14ac:dyDescent="0.2">
      <c r="A160" s="46"/>
      <c r="B160" s="93"/>
      <c r="C160" s="94" t="s">
        <v>119</v>
      </c>
      <c r="D160" s="102">
        <v>4.5860000000000003</v>
      </c>
      <c r="E160" s="96"/>
      <c r="F160" s="27">
        <f>SUM(F137)</f>
        <v>45473</v>
      </c>
      <c r="G160" s="97">
        <v>4426862.1500000004</v>
      </c>
      <c r="H160" s="84">
        <f t="shared" si="8"/>
        <v>4426862.1500000004</v>
      </c>
      <c r="I160" s="84">
        <f t="shared" si="9"/>
        <v>4426862.1500000004</v>
      </c>
      <c r="J160" s="36">
        <v>75925.36</v>
      </c>
      <c r="K160" s="91">
        <f t="shared" si="10"/>
        <v>160374.72</v>
      </c>
      <c r="L160" s="260"/>
      <c r="M160" s="260"/>
      <c r="N160" s="260"/>
      <c r="O160" s="36">
        <v>46370.29</v>
      </c>
      <c r="P160" s="36">
        <v>38079.07</v>
      </c>
      <c r="Q160" s="36"/>
      <c r="R160"/>
    </row>
    <row r="161" spans="1:18" s="22" customFormat="1" ht="11.25" customHeight="1" x14ac:dyDescent="0.2">
      <c r="A161" s="46"/>
      <c r="B161" s="187"/>
      <c r="C161" s="177" t="s">
        <v>83</v>
      </c>
      <c r="D161" s="178">
        <v>4.5860000000000003</v>
      </c>
      <c r="E161" s="184"/>
      <c r="F161" s="180">
        <f>SUM(F137)</f>
        <v>45473</v>
      </c>
      <c r="G161" s="185">
        <v>0</v>
      </c>
      <c r="H161" s="185">
        <f>SUM(G161)</f>
        <v>0</v>
      </c>
      <c r="I161" s="185">
        <f>SUM(G161)</f>
        <v>0</v>
      </c>
      <c r="J161" s="181" t="s">
        <v>154</v>
      </c>
      <c r="K161" s="181" t="s">
        <v>90</v>
      </c>
      <c r="L161" s="265"/>
      <c r="M161" s="265"/>
      <c r="N161" s="265"/>
      <c r="O161" s="36">
        <v>0</v>
      </c>
      <c r="P161" s="36">
        <v>0</v>
      </c>
      <c r="Q161" s="36"/>
      <c r="R161"/>
    </row>
    <row r="162" spans="1:18" s="22" customFormat="1" ht="11.25" customHeight="1" x14ac:dyDescent="0.2">
      <c r="A162" s="46"/>
      <c r="B162" s="93"/>
      <c r="C162" s="94" t="s">
        <v>77</v>
      </c>
      <c r="D162" s="102">
        <v>4.5860000000000003</v>
      </c>
      <c r="E162" s="96"/>
      <c r="F162" s="27">
        <f>SUM(F137)</f>
        <v>45473</v>
      </c>
      <c r="G162" s="19">
        <v>1</v>
      </c>
      <c r="H162" s="19">
        <f>SUM(G162)</f>
        <v>1</v>
      </c>
      <c r="I162" s="19">
        <f>SUM(G162)</f>
        <v>1</v>
      </c>
      <c r="J162" s="36" t="s">
        <v>154</v>
      </c>
      <c r="K162" s="36" t="s">
        <v>90</v>
      </c>
      <c r="L162" s="265"/>
      <c r="M162" s="265"/>
      <c r="N162" s="265"/>
      <c r="O162" s="36">
        <v>0</v>
      </c>
      <c r="P162" s="36">
        <v>0</v>
      </c>
      <c r="Q162" s="36"/>
      <c r="R162"/>
    </row>
    <row r="163" spans="1:18" ht="11.25" customHeight="1" x14ac:dyDescent="0.2">
      <c r="A163" s="46"/>
      <c r="B163" s="188"/>
      <c r="C163" s="177" t="s">
        <v>41</v>
      </c>
      <c r="D163" s="178">
        <v>4.5860000000000003</v>
      </c>
      <c r="E163" s="184"/>
      <c r="F163" s="180">
        <f>SUM(F137)</f>
        <v>45473</v>
      </c>
      <c r="G163" s="185">
        <v>755682.09</v>
      </c>
      <c r="H163" s="182">
        <f t="shared" ref="H163:H170" si="11">SUM(G163)</f>
        <v>755682.09</v>
      </c>
      <c r="I163" s="182">
        <f t="shared" ref="I163:I170" si="12">SUM(G163)</f>
        <v>755682.09</v>
      </c>
      <c r="J163" s="181" t="s">
        <v>154</v>
      </c>
      <c r="K163" s="181" t="s">
        <v>90</v>
      </c>
      <c r="L163" s="265"/>
      <c r="M163" s="265"/>
      <c r="N163" s="265"/>
      <c r="O163" s="36">
        <v>0</v>
      </c>
      <c r="P163" s="36">
        <v>0</v>
      </c>
      <c r="Q163" s="36"/>
    </row>
    <row r="164" spans="1:18" ht="11.25" customHeight="1" x14ac:dyDescent="0.2">
      <c r="A164" s="46"/>
      <c r="B164" s="93"/>
      <c r="C164" s="94" t="s">
        <v>42</v>
      </c>
      <c r="D164" s="102">
        <v>4.5860000000000003</v>
      </c>
      <c r="E164" s="96"/>
      <c r="F164" s="27">
        <f>SUM(F137)</f>
        <v>45473</v>
      </c>
      <c r="G164" s="97">
        <v>162495.99</v>
      </c>
      <c r="H164" s="84">
        <f t="shared" si="11"/>
        <v>162495.99</v>
      </c>
      <c r="I164" s="84">
        <f t="shared" si="12"/>
        <v>162495.99</v>
      </c>
      <c r="J164" s="36">
        <v>1408.51</v>
      </c>
      <c r="K164" s="91">
        <f>SUM(J164+O164+P164+Q164)</f>
        <v>5161.92</v>
      </c>
      <c r="L164" s="260"/>
      <c r="M164" s="260"/>
      <c r="N164" s="260"/>
      <c r="O164" s="36">
        <v>1842.94</v>
      </c>
      <c r="P164" s="36">
        <v>1910.47</v>
      </c>
      <c r="Q164" s="36"/>
    </row>
    <row r="165" spans="1:18" ht="11.25" customHeight="1" x14ac:dyDescent="0.2">
      <c r="A165" s="46"/>
      <c r="B165" s="187"/>
      <c r="C165" s="177" t="s">
        <v>43</v>
      </c>
      <c r="D165" s="178">
        <v>4.5860000000000003</v>
      </c>
      <c r="E165" s="184"/>
      <c r="F165" s="180">
        <f>SUM(F137)</f>
        <v>45473</v>
      </c>
      <c r="G165" s="185">
        <v>232578.86</v>
      </c>
      <c r="H165" s="182">
        <f t="shared" si="11"/>
        <v>232578.86</v>
      </c>
      <c r="I165" s="182">
        <f t="shared" si="12"/>
        <v>232578.86</v>
      </c>
      <c r="J165" s="181" t="s">
        <v>154</v>
      </c>
      <c r="K165" s="181" t="s">
        <v>90</v>
      </c>
      <c r="L165" s="265"/>
      <c r="M165" s="265"/>
      <c r="N165" s="265"/>
      <c r="O165" s="36">
        <v>0</v>
      </c>
      <c r="P165" s="36">
        <v>0</v>
      </c>
      <c r="Q165" s="36"/>
    </row>
    <row r="166" spans="1:18" ht="11.25" customHeight="1" x14ac:dyDescent="0.2">
      <c r="A166" s="46"/>
      <c r="B166" s="98"/>
      <c r="C166" s="94" t="s">
        <v>44</v>
      </c>
      <c r="D166" s="102">
        <v>4.5860000000000003</v>
      </c>
      <c r="E166" s="96"/>
      <c r="F166" s="27">
        <f>SUM(F137)</f>
        <v>45473</v>
      </c>
      <c r="G166" s="97">
        <v>40802.720000000001</v>
      </c>
      <c r="H166" s="84">
        <f t="shared" si="11"/>
        <v>40802.720000000001</v>
      </c>
      <c r="I166" s="84">
        <f t="shared" si="12"/>
        <v>40802.720000000001</v>
      </c>
      <c r="J166" s="36">
        <v>353.69</v>
      </c>
      <c r="K166" s="91">
        <f>SUM(J166+O166+P166+Q166)</f>
        <v>1058.48</v>
      </c>
      <c r="L166" s="260"/>
      <c r="M166" s="260"/>
      <c r="N166" s="260"/>
      <c r="O166" s="36">
        <v>348.09</v>
      </c>
      <c r="P166" s="36">
        <v>356.7</v>
      </c>
      <c r="Q166" s="36"/>
    </row>
    <row r="167" spans="1:18" ht="11.25" customHeight="1" x14ac:dyDescent="0.2">
      <c r="A167" s="46"/>
      <c r="B167" s="187"/>
      <c r="C167" s="177" t="s">
        <v>45</v>
      </c>
      <c r="D167" s="178">
        <v>4.5860000000000003</v>
      </c>
      <c r="E167" s="184"/>
      <c r="F167" s="180">
        <f>SUM(F137)</f>
        <v>45473</v>
      </c>
      <c r="G167" s="185">
        <v>376602.88</v>
      </c>
      <c r="H167" s="182">
        <f t="shared" si="11"/>
        <v>376602.88</v>
      </c>
      <c r="I167" s="182">
        <f t="shared" si="12"/>
        <v>376602.88</v>
      </c>
      <c r="J167" s="181">
        <v>4255.8999999999996</v>
      </c>
      <c r="K167" s="183">
        <f>SUM(J167+O167+P167+Q167)</f>
        <v>12755.46</v>
      </c>
      <c r="L167" s="260"/>
      <c r="M167" s="260"/>
      <c r="N167" s="260"/>
      <c r="O167" s="36">
        <v>4282.9799999999996</v>
      </c>
      <c r="P167" s="36">
        <v>4216.58</v>
      </c>
      <c r="Q167" s="36"/>
    </row>
    <row r="168" spans="1:18" ht="11.25" customHeight="1" x14ac:dyDescent="0.2">
      <c r="A168" s="95"/>
      <c r="B168" s="93"/>
      <c r="C168" s="94" t="s">
        <v>46</v>
      </c>
      <c r="D168" s="102">
        <v>4.5860000000000003</v>
      </c>
      <c r="E168" s="96"/>
      <c r="F168" s="27">
        <f>SUM(F137)</f>
        <v>45473</v>
      </c>
      <c r="G168" s="97">
        <v>21051</v>
      </c>
      <c r="H168" s="84">
        <f t="shared" si="11"/>
        <v>21051</v>
      </c>
      <c r="I168" s="84">
        <f t="shared" si="12"/>
        <v>21051</v>
      </c>
      <c r="J168" s="36" t="s">
        <v>154</v>
      </c>
      <c r="K168" s="36" t="s">
        <v>90</v>
      </c>
      <c r="L168" s="265"/>
      <c r="M168" s="265"/>
      <c r="N168" s="265"/>
      <c r="O168" s="36">
        <v>0</v>
      </c>
      <c r="P168" s="36">
        <v>0</v>
      </c>
      <c r="Q168" s="36"/>
    </row>
    <row r="169" spans="1:18" ht="11.25" customHeight="1" x14ac:dyDescent="0.2">
      <c r="A169" s="46"/>
      <c r="B169" s="187"/>
      <c r="C169" s="177" t="s">
        <v>47</v>
      </c>
      <c r="D169" s="178">
        <v>4.5860000000000003</v>
      </c>
      <c r="E169" s="184"/>
      <c r="F169" s="180">
        <f>SUM(F137)</f>
        <v>45473</v>
      </c>
      <c r="G169" s="185">
        <v>653265.87</v>
      </c>
      <c r="H169" s="182">
        <f t="shared" si="11"/>
        <v>653265.87</v>
      </c>
      <c r="I169" s="182">
        <f t="shared" si="12"/>
        <v>653265.87</v>
      </c>
      <c r="J169" s="181">
        <v>5127.57</v>
      </c>
      <c r="K169" s="183">
        <f>SUM(J169+O169+P169+Q169)</f>
        <v>27355.940000000002</v>
      </c>
      <c r="L169" s="260"/>
      <c r="M169" s="260"/>
      <c r="N169" s="260"/>
      <c r="O169" s="36">
        <v>16038.37</v>
      </c>
      <c r="P169" s="36">
        <v>6190</v>
      </c>
      <c r="Q169" s="36"/>
    </row>
    <row r="170" spans="1:18" s="26" customFormat="1" ht="11.25" customHeight="1" x14ac:dyDescent="0.2">
      <c r="A170" s="95"/>
      <c r="B170" s="93"/>
      <c r="C170" s="94" t="s">
        <v>48</v>
      </c>
      <c r="D170" s="102">
        <v>4.5860000000000003</v>
      </c>
      <c r="E170" s="96"/>
      <c r="F170" s="27">
        <f>SUM(F137)</f>
        <v>45473</v>
      </c>
      <c r="G170" s="19">
        <v>112856.02</v>
      </c>
      <c r="H170" s="84">
        <f t="shared" si="11"/>
        <v>112856.02</v>
      </c>
      <c r="I170" s="84">
        <f t="shared" si="12"/>
        <v>112856.02</v>
      </c>
      <c r="J170" s="109">
        <v>1283.3</v>
      </c>
      <c r="K170" s="91">
        <f>SUM(J170+O170+P170+Q170)</f>
        <v>3758.17</v>
      </c>
      <c r="L170" s="260"/>
      <c r="M170" s="260"/>
      <c r="N170" s="260"/>
      <c r="O170" s="109">
        <v>1196.74</v>
      </c>
      <c r="P170" s="109">
        <v>1278.1300000000001</v>
      </c>
      <c r="Q170" s="109"/>
    </row>
    <row r="171" spans="1:18" s="26" customFormat="1" ht="12" x14ac:dyDescent="0.2">
      <c r="A171" s="46"/>
      <c r="B171" s="93"/>
      <c r="C171" s="99"/>
      <c r="D171" s="144"/>
      <c r="F171" s="34"/>
      <c r="G171" s="100">
        <f>SUM(G137:G170)</f>
        <v>14744533.610000003</v>
      </c>
      <c r="H171" s="100">
        <f>SUM(H137:H170)</f>
        <v>14744533.610000003</v>
      </c>
      <c r="I171" s="100">
        <f>SUM(I137:I170)</f>
        <v>14744533.610000003</v>
      </c>
      <c r="J171" s="100">
        <f>SUM(J137:J170)</f>
        <v>133266.11999999997</v>
      </c>
      <c r="K171" s="207">
        <f>SUM(J171+O171+P171+Q171)</f>
        <v>339213.54999999993</v>
      </c>
      <c r="L171" s="270"/>
      <c r="M171" s="270"/>
      <c r="N171" s="270"/>
      <c r="O171" s="101">
        <f>SUM(O137:O170)</f>
        <v>112508.32999999999</v>
      </c>
      <c r="P171" s="101">
        <f>SUM(P137:P170)</f>
        <v>93439.1</v>
      </c>
      <c r="Q171" s="215">
        <f>SUM(Q137:Q170)</f>
        <v>0</v>
      </c>
    </row>
    <row r="172" spans="1:18" s="26" customFormat="1" x14ac:dyDescent="0.2">
      <c r="A172" s="46"/>
      <c r="B172" s="93"/>
      <c r="C172" s="99"/>
      <c r="D172" s="144"/>
      <c r="F172" s="34"/>
      <c r="G172" s="19"/>
      <c r="H172" s="19"/>
      <c r="I172" s="19"/>
      <c r="J172" s="19"/>
      <c r="K172" s="139"/>
      <c r="L172" s="266"/>
      <c r="M172" s="266"/>
      <c r="N172" s="266"/>
      <c r="O172" s="36"/>
      <c r="P172" s="36"/>
      <c r="Q172" s="36"/>
    </row>
    <row r="173" spans="1:18" s="26" customFormat="1" x14ac:dyDescent="0.2">
      <c r="A173" s="54" t="s">
        <v>210</v>
      </c>
      <c r="B173" s="126"/>
      <c r="C173" s="75"/>
      <c r="D173" s="141"/>
      <c r="E173" s="22"/>
      <c r="F173" s="42"/>
      <c r="G173" s="73">
        <f>SUM(G171,G43:G131)</f>
        <v>96944119.5</v>
      </c>
      <c r="H173" s="73">
        <f>SUM(H171,H43:H131)</f>
        <v>96865747.099999994</v>
      </c>
      <c r="I173" s="73">
        <f>SUM(I171,I43:I131)</f>
        <v>96896373.820000008</v>
      </c>
      <c r="J173" s="73">
        <f>SUM(J171,J43:J131)</f>
        <v>1164609.1999999995</v>
      </c>
      <c r="K173" s="127">
        <f>SUM(J173+O173+P173+Q173)</f>
        <v>3211536.5499999993</v>
      </c>
      <c r="L173" s="267"/>
      <c r="M173" s="267"/>
      <c r="N173" s="267"/>
      <c r="O173" s="73">
        <f>SUM(O171,O43:O131)</f>
        <v>891822.4600000002</v>
      </c>
      <c r="P173" s="73">
        <f>SUM(P171,P43:P131)</f>
        <v>1155104.8899999997</v>
      </c>
      <c r="Q173" s="73">
        <f>SUM(Q171,Q43:Q131)</f>
        <v>0</v>
      </c>
      <c r="R173" s="73">
        <f>SUM(R171,R43:R131)</f>
        <v>0</v>
      </c>
    </row>
  </sheetData>
  <mergeCells count="4">
    <mergeCell ref="L2:L5"/>
    <mergeCell ref="M2:M5"/>
    <mergeCell ref="N4:N5"/>
    <mergeCell ref="A1:N1"/>
  </mergeCells>
  <phoneticPr fontId="5" type="noConversion"/>
  <pageMargins left="0.25" right="0.25" top="0" bottom="0.25" header="0" footer="0"/>
  <pageSetup paperSize="5" scale="98" firstPageNumber="2" fitToHeight="0" orientation="landscape" useFirstPageNumber="1" r:id="rId1"/>
  <headerFooter alignWithMargins="0">
    <oddFooter>&amp;C&amp;P</oddFooter>
  </headerFooter>
  <cellWatches>
    <cellWatch r="C91"/>
  </cellWatches>
  <ignoredErrors>
    <ignoredError sqref="K171 K17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2"/>
  <sheetViews>
    <sheetView topLeftCell="A47" zoomScaleNormal="100" workbookViewId="0">
      <selection activeCell="D37" sqref="D37:D38"/>
    </sheetView>
  </sheetViews>
  <sheetFormatPr defaultColWidth="9.140625" defaultRowHeight="12.75" outlineLevelRow="1" x14ac:dyDescent="0.2"/>
  <cols>
    <col min="1" max="1" width="21.28515625" style="26" customWidth="1"/>
    <col min="2" max="2" width="15" style="26" customWidth="1"/>
    <col min="3" max="3" width="11.5703125" style="30" customWidth="1"/>
    <col min="4" max="4" width="11.5703125" style="43" customWidth="1"/>
    <col min="5" max="5" width="2.28515625" style="26" customWidth="1"/>
    <col min="6" max="6" width="16.140625" style="19" bestFit="1" customWidth="1"/>
    <col min="7" max="7" width="9.42578125" style="19" bestFit="1" customWidth="1"/>
    <col min="8" max="8" width="17.5703125" style="19" customWidth="1"/>
    <col min="9" max="9" width="1.5703125" style="31" customWidth="1"/>
    <col min="10" max="10" width="16.140625" style="19" bestFit="1" customWidth="1"/>
    <col min="11" max="11" width="9.42578125" style="19" bestFit="1" customWidth="1"/>
    <col min="12" max="12" width="17.5703125" style="19" customWidth="1"/>
    <col min="13" max="13" width="1.42578125" style="19" customWidth="1"/>
    <col min="14" max="14" width="16.28515625" style="52" customWidth="1"/>
    <col min="15" max="15" width="1.7109375" customWidth="1"/>
    <col min="16" max="16" width="20" style="231" customWidth="1"/>
  </cols>
  <sheetData>
    <row r="1" spans="1:16" x14ac:dyDescent="0.2">
      <c r="A1" s="77"/>
      <c r="B1" s="220"/>
      <c r="C1" s="96"/>
      <c r="D1" s="94"/>
      <c r="E1" s="99"/>
      <c r="F1" s="121"/>
      <c r="G1" s="121"/>
      <c r="H1" s="121"/>
      <c r="I1" s="51"/>
      <c r="J1" s="121"/>
      <c r="K1" s="121"/>
      <c r="L1" s="121"/>
      <c r="M1" s="49"/>
      <c r="O1" s="225"/>
      <c r="P1" s="283" t="s">
        <v>255</v>
      </c>
    </row>
    <row r="2" spans="1:16" s="45" customFormat="1" x14ac:dyDescent="0.2">
      <c r="A2" s="248"/>
      <c r="B2" s="249"/>
      <c r="C2" s="250"/>
      <c r="D2" s="251"/>
      <c r="E2" s="250"/>
      <c r="F2" s="245"/>
      <c r="G2" s="246">
        <v>45352</v>
      </c>
      <c r="H2" s="245"/>
      <c r="I2" s="47"/>
      <c r="J2" s="245"/>
      <c r="K2" s="246">
        <v>45473</v>
      </c>
      <c r="L2" s="245"/>
      <c r="M2" s="47"/>
      <c r="N2" s="138"/>
      <c r="O2" s="225"/>
      <c r="P2" s="283"/>
    </row>
    <row r="3" spans="1:16" s="45" customFormat="1" ht="12.75" customHeight="1" x14ac:dyDescent="0.2">
      <c r="A3" s="250" t="s">
        <v>49</v>
      </c>
      <c r="B3" s="252" t="s">
        <v>18</v>
      </c>
      <c r="C3" s="250" t="s">
        <v>19</v>
      </c>
      <c r="D3" s="251" t="s">
        <v>50</v>
      </c>
      <c r="E3" s="250"/>
      <c r="F3" s="245" t="s">
        <v>51</v>
      </c>
      <c r="G3" s="247" t="s">
        <v>52</v>
      </c>
      <c r="H3" s="245"/>
      <c r="I3" s="47"/>
      <c r="J3" s="245" t="s">
        <v>51</v>
      </c>
      <c r="K3" s="247" t="s">
        <v>52</v>
      </c>
      <c r="L3" s="245"/>
      <c r="M3" s="47"/>
      <c r="N3" s="138" t="s">
        <v>53</v>
      </c>
      <c r="O3" s="225"/>
      <c r="P3" s="283"/>
    </row>
    <row r="4" spans="1:16" s="45" customFormat="1" ht="13.5" customHeight="1" x14ac:dyDescent="0.2">
      <c r="A4" s="250"/>
      <c r="B4" s="252" t="s">
        <v>25</v>
      </c>
      <c r="C4" s="250" t="s">
        <v>26</v>
      </c>
      <c r="D4" s="251" t="s">
        <v>54</v>
      </c>
      <c r="E4" s="250"/>
      <c r="F4" s="245" t="s">
        <v>55</v>
      </c>
      <c r="G4" s="247" t="s">
        <v>56</v>
      </c>
      <c r="H4" s="245" t="s">
        <v>57</v>
      </c>
      <c r="I4" s="47"/>
      <c r="J4" s="245" t="s">
        <v>55</v>
      </c>
      <c r="K4" s="247" t="s">
        <v>56</v>
      </c>
      <c r="L4" s="245" t="s">
        <v>57</v>
      </c>
      <c r="M4" s="47"/>
      <c r="N4" s="138" t="s">
        <v>16</v>
      </c>
      <c r="O4" s="225"/>
      <c r="P4" s="283"/>
    </row>
    <row r="5" spans="1:16" s="45" customFormat="1" ht="5.25" customHeight="1" thickBot="1" x14ac:dyDescent="0.25">
      <c r="A5" s="238"/>
      <c r="B5" s="239"/>
      <c r="C5" s="238"/>
      <c r="D5" s="240"/>
      <c r="E5" s="238"/>
      <c r="F5" s="241"/>
      <c r="G5" s="242"/>
      <c r="H5" s="241"/>
      <c r="I5" s="241"/>
      <c r="J5" s="241"/>
      <c r="K5" s="242"/>
      <c r="L5" s="241"/>
      <c r="M5" s="241"/>
      <c r="N5" s="243"/>
      <c r="O5" s="244"/>
      <c r="P5" s="253"/>
    </row>
    <row r="6" spans="1:16" outlineLevel="1" x14ac:dyDescent="0.2">
      <c r="A6" s="26" t="s">
        <v>30</v>
      </c>
      <c r="B6" s="26" t="s">
        <v>110</v>
      </c>
      <c r="C6" s="227"/>
      <c r="D6" s="34">
        <v>45473</v>
      </c>
      <c r="E6" s="32"/>
      <c r="F6" s="19">
        <v>7066949.2699999996</v>
      </c>
      <c r="G6" s="206">
        <f>+H6/F6</f>
        <v>1</v>
      </c>
      <c r="H6" s="19">
        <f t="shared" ref="H6:H15" si="0">SUM(F6)</f>
        <v>7066949.2699999996</v>
      </c>
      <c r="I6" s="51" t="s">
        <v>59</v>
      </c>
      <c r="J6" s="19">
        <v>4298973.3899999997</v>
      </c>
      <c r="K6" s="206">
        <f>+L6/J6</f>
        <v>1</v>
      </c>
      <c r="L6" s="19">
        <f t="shared" ref="L6:L15" si="1">SUM(J6)</f>
        <v>4298973.3899999997</v>
      </c>
      <c r="M6" s="49"/>
      <c r="N6" s="232"/>
      <c r="O6" s="226"/>
      <c r="P6" s="236"/>
    </row>
    <row r="7" spans="1:16" outlineLevel="1" x14ac:dyDescent="0.2">
      <c r="B7" s="146" t="s">
        <v>58</v>
      </c>
      <c r="C7" s="228"/>
      <c r="D7" s="147">
        <v>45473</v>
      </c>
      <c r="E7" s="148"/>
      <c r="F7" s="151">
        <v>800</v>
      </c>
      <c r="G7" s="150">
        <f t="shared" ref="G7:G13" si="2">+H7/F7</f>
        <v>1</v>
      </c>
      <c r="H7" s="151">
        <f t="shared" si="0"/>
        <v>800</v>
      </c>
      <c r="I7" s="51"/>
      <c r="J7" s="151">
        <v>800</v>
      </c>
      <c r="K7" s="150">
        <f t="shared" ref="K7:K39" si="3">+L7/J7</f>
        <v>1</v>
      </c>
      <c r="L7" s="151">
        <f t="shared" si="1"/>
        <v>800</v>
      </c>
      <c r="M7" s="49"/>
      <c r="N7" s="232"/>
      <c r="O7" s="226"/>
      <c r="P7" s="236"/>
    </row>
    <row r="8" spans="1:16" outlineLevel="1" x14ac:dyDescent="0.2">
      <c r="B8" s="26" t="s">
        <v>104</v>
      </c>
      <c r="C8" s="227"/>
      <c r="D8" s="34">
        <v>45473</v>
      </c>
      <c r="E8" s="32"/>
      <c r="F8" s="19">
        <v>20000000</v>
      </c>
      <c r="G8" s="66">
        <f t="shared" si="2"/>
        <v>1</v>
      </c>
      <c r="H8" s="19">
        <f t="shared" si="0"/>
        <v>20000000</v>
      </c>
      <c r="I8" s="51" t="s">
        <v>59</v>
      </c>
      <c r="J8" s="19">
        <v>10000000</v>
      </c>
      <c r="K8" s="66">
        <f t="shared" si="3"/>
        <v>1</v>
      </c>
      <c r="L8" s="19">
        <f t="shared" si="1"/>
        <v>10000000</v>
      </c>
      <c r="M8" s="49"/>
      <c r="N8" s="232"/>
      <c r="O8" s="226"/>
      <c r="P8" s="236"/>
    </row>
    <row r="9" spans="1:16" outlineLevel="1" x14ac:dyDescent="0.2">
      <c r="B9" s="146" t="s">
        <v>162</v>
      </c>
      <c r="C9" s="228"/>
      <c r="D9" s="147">
        <v>45473</v>
      </c>
      <c r="E9" s="148"/>
      <c r="F9" s="151">
        <v>21236.959999999999</v>
      </c>
      <c r="G9" s="150">
        <f t="shared" si="2"/>
        <v>1</v>
      </c>
      <c r="H9" s="151">
        <f t="shared" si="0"/>
        <v>21236.959999999999</v>
      </c>
      <c r="I9" s="51" t="s">
        <v>59</v>
      </c>
      <c r="J9" s="151">
        <v>5081072.6100000003</v>
      </c>
      <c r="K9" s="150">
        <f t="shared" si="3"/>
        <v>1</v>
      </c>
      <c r="L9" s="151">
        <f t="shared" si="1"/>
        <v>5081072.6100000003</v>
      </c>
      <c r="M9" s="49"/>
      <c r="N9" s="232"/>
      <c r="O9" s="226"/>
      <c r="P9" s="236"/>
    </row>
    <row r="10" spans="1:16" outlineLevel="1" x14ac:dyDescent="0.2">
      <c r="B10" s="99" t="s">
        <v>252</v>
      </c>
      <c r="C10" s="254"/>
      <c r="D10" s="223">
        <v>45473</v>
      </c>
      <c r="E10" s="224"/>
      <c r="F10" s="121">
        <v>0</v>
      </c>
      <c r="G10" s="255">
        <v>0</v>
      </c>
      <c r="H10" s="121"/>
      <c r="I10" s="51" t="s">
        <v>59</v>
      </c>
      <c r="J10" s="121">
        <v>23402.799999999999</v>
      </c>
      <c r="K10" s="255">
        <f t="shared" si="3"/>
        <v>1</v>
      </c>
      <c r="L10" s="121">
        <f t="shared" si="1"/>
        <v>23402.799999999999</v>
      </c>
      <c r="M10" s="49"/>
      <c r="N10" s="232"/>
      <c r="O10" s="226"/>
      <c r="P10" s="236"/>
    </row>
    <row r="11" spans="1:16" outlineLevel="1" x14ac:dyDescent="0.2">
      <c r="B11" s="146" t="s">
        <v>222</v>
      </c>
      <c r="C11" s="229"/>
      <c r="D11" s="147">
        <v>45473</v>
      </c>
      <c r="E11" s="148"/>
      <c r="F11" s="149">
        <v>0</v>
      </c>
      <c r="G11" s="150">
        <v>0</v>
      </c>
      <c r="H11" s="151">
        <v>0</v>
      </c>
      <c r="I11" s="51" t="s">
        <v>59</v>
      </c>
      <c r="J11" s="149">
        <v>10041600.59</v>
      </c>
      <c r="K11" s="150">
        <f t="shared" si="3"/>
        <v>1</v>
      </c>
      <c r="L11" s="151">
        <f t="shared" si="1"/>
        <v>10041600.59</v>
      </c>
      <c r="M11" s="49"/>
      <c r="N11" s="232"/>
      <c r="O11" s="226"/>
      <c r="P11" s="236"/>
    </row>
    <row r="12" spans="1:16" outlineLevel="1" x14ac:dyDescent="0.2">
      <c r="B12" s="26" t="s">
        <v>187</v>
      </c>
      <c r="C12" s="227"/>
      <c r="D12" s="34">
        <v>45408</v>
      </c>
      <c r="E12" s="32"/>
      <c r="F12" s="19">
        <v>10000000</v>
      </c>
      <c r="G12" s="66">
        <f t="shared" ref="G12" si="4">+H12/F12</f>
        <v>1</v>
      </c>
      <c r="H12" s="19">
        <f t="shared" ref="H12" si="5">SUM(F12)</f>
        <v>10000000</v>
      </c>
      <c r="I12" s="51"/>
      <c r="J12" s="153">
        <v>0</v>
      </c>
      <c r="K12" s="152">
        <v>0</v>
      </c>
      <c r="L12" s="153">
        <f t="shared" ref="L12" si="6">SUM(J12)</f>
        <v>0</v>
      </c>
      <c r="M12" s="49"/>
      <c r="N12" s="232"/>
      <c r="O12" s="226"/>
      <c r="P12" s="236"/>
    </row>
    <row r="13" spans="1:16" outlineLevel="1" x14ac:dyDescent="0.2">
      <c r="B13" s="146" t="s">
        <v>187</v>
      </c>
      <c r="C13" s="228"/>
      <c r="D13" s="147">
        <v>45426</v>
      </c>
      <c r="E13" s="148"/>
      <c r="F13" s="151">
        <v>10000000</v>
      </c>
      <c r="G13" s="150">
        <f t="shared" si="2"/>
        <v>1</v>
      </c>
      <c r="H13" s="151">
        <f t="shared" si="0"/>
        <v>10000000</v>
      </c>
      <c r="I13" s="51"/>
      <c r="J13" s="153">
        <v>0</v>
      </c>
      <c r="K13" s="152">
        <v>0</v>
      </c>
      <c r="L13" s="153">
        <f t="shared" si="1"/>
        <v>0</v>
      </c>
      <c r="M13" s="49"/>
      <c r="N13" s="232"/>
      <c r="O13" s="226"/>
      <c r="P13" s="236"/>
    </row>
    <row r="14" spans="1:16" outlineLevel="1" x14ac:dyDescent="0.2">
      <c r="B14" s="26" t="s">
        <v>187</v>
      </c>
      <c r="C14" s="227"/>
      <c r="D14" s="34">
        <v>45467</v>
      </c>
      <c r="E14" s="32"/>
      <c r="F14" s="19">
        <v>5000000</v>
      </c>
      <c r="G14" s="206">
        <v>0</v>
      </c>
      <c r="H14" s="19">
        <f t="shared" si="0"/>
        <v>5000000</v>
      </c>
      <c r="I14" s="51"/>
      <c r="J14" s="153">
        <v>0</v>
      </c>
      <c r="K14" s="152">
        <v>0</v>
      </c>
      <c r="L14" s="153">
        <f t="shared" si="1"/>
        <v>0</v>
      </c>
      <c r="M14" s="49"/>
      <c r="N14" s="232"/>
      <c r="O14" s="226"/>
      <c r="P14" s="236"/>
    </row>
    <row r="15" spans="1:16" outlineLevel="1" x14ac:dyDescent="0.2">
      <c r="B15" s="146" t="s">
        <v>187</v>
      </c>
      <c r="C15" s="228"/>
      <c r="D15" s="147">
        <v>45646</v>
      </c>
      <c r="E15" s="148"/>
      <c r="F15" s="151">
        <v>0</v>
      </c>
      <c r="G15" s="150">
        <v>0</v>
      </c>
      <c r="H15" s="151">
        <f t="shared" si="0"/>
        <v>0</v>
      </c>
      <c r="I15" s="51" t="s">
        <v>59</v>
      </c>
      <c r="J15" s="151">
        <v>10000000</v>
      </c>
      <c r="K15" s="150">
        <f t="shared" si="3"/>
        <v>1</v>
      </c>
      <c r="L15" s="151">
        <f t="shared" si="1"/>
        <v>10000000</v>
      </c>
      <c r="M15" s="49"/>
      <c r="N15" s="232"/>
      <c r="O15" s="226"/>
      <c r="P15" s="236"/>
    </row>
    <row r="16" spans="1:16" outlineLevel="1" x14ac:dyDescent="0.2">
      <c r="B16" s="26" t="s">
        <v>141</v>
      </c>
      <c r="D16" s="34">
        <v>45382</v>
      </c>
      <c r="E16" s="32"/>
      <c r="F16" s="36">
        <v>461064.55</v>
      </c>
      <c r="G16" s="206">
        <f t="shared" ref="G16:G33" si="7">+H16/F16</f>
        <v>1</v>
      </c>
      <c r="H16" s="19">
        <f>SUM(F16)</f>
        <v>461064.55</v>
      </c>
      <c r="I16" s="51" t="s">
        <v>59</v>
      </c>
      <c r="J16" s="122">
        <v>0</v>
      </c>
      <c r="K16" s="152">
        <v>0</v>
      </c>
      <c r="L16" s="153">
        <f>SUM(J16)</f>
        <v>0</v>
      </c>
      <c r="M16" s="49"/>
      <c r="N16" s="232"/>
      <c r="O16" s="226"/>
      <c r="P16" s="236"/>
    </row>
    <row r="17" spans="2:16" ht="11.25" customHeight="1" outlineLevel="1" x14ac:dyDescent="0.2">
      <c r="B17" s="146" t="s">
        <v>188</v>
      </c>
      <c r="C17" s="229" t="s">
        <v>173</v>
      </c>
      <c r="D17" s="147">
        <v>45401</v>
      </c>
      <c r="E17" s="148"/>
      <c r="F17" s="149">
        <v>238000</v>
      </c>
      <c r="G17" s="150">
        <f t="shared" si="7"/>
        <v>1</v>
      </c>
      <c r="H17" s="149">
        <v>238000</v>
      </c>
      <c r="I17" s="51" t="s">
        <v>59</v>
      </c>
      <c r="J17" s="122">
        <v>0</v>
      </c>
      <c r="K17" s="152">
        <v>0</v>
      </c>
      <c r="L17" s="122">
        <v>0</v>
      </c>
      <c r="M17" s="49"/>
      <c r="N17" s="232"/>
      <c r="O17" s="226"/>
      <c r="P17" s="236"/>
    </row>
    <row r="18" spans="2:16" outlineLevel="1" x14ac:dyDescent="0.2">
      <c r="B18" s="26" t="s">
        <v>133</v>
      </c>
      <c r="C18" s="30" t="s">
        <v>132</v>
      </c>
      <c r="D18" s="34">
        <v>45432</v>
      </c>
      <c r="E18" s="32"/>
      <c r="F18" s="36">
        <v>246000</v>
      </c>
      <c r="G18" s="206">
        <f t="shared" si="7"/>
        <v>0.99663999999999997</v>
      </c>
      <c r="H18" s="36">
        <v>245173.44</v>
      </c>
      <c r="I18" s="51" t="s">
        <v>59</v>
      </c>
      <c r="J18" s="122">
        <v>0</v>
      </c>
      <c r="K18" s="152">
        <v>0</v>
      </c>
      <c r="L18" s="122">
        <v>0</v>
      </c>
      <c r="M18" s="49"/>
      <c r="N18" s="232"/>
      <c r="O18" s="226"/>
      <c r="P18" s="236"/>
    </row>
    <row r="19" spans="2:16" outlineLevel="1" x14ac:dyDescent="0.2">
      <c r="B19" s="146" t="s">
        <v>189</v>
      </c>
      <c r="C19" s="229" t="s">
        <v>174</v>
      </c>
      <c r="D19" s="147">
        <v>45436</v>
      </c>
      <c r="E19" s="148"/>
      <c r="F19" s="149">
        <v>229000</v>
      </c>
      <c r="G19" s="150">
        <f t="shared" si="7"/>
        <v>1</v>
      </c>
      <c r="H19" s="149">
        <v>229000</v>
      </c>
      <c r="I19" s="51" t="s">
        <v>59</v>
      </c>
      <c r="J19" s="122">
        <v>0</v>
      </c>
      <c r="K19" s="152">
        <v>0</v>
      </c>
      <c r="L19" s="122">
        <v>0</v>
      </c>
      <c r="M19" s="49"/>
      <c r="N19" s="232"/>
      <c r="O19" s="226"/>
      <c r="P19" s="236"/>
    </row>
    <row r="20" spans="2:16" outlineLevel="1" x14ac:dyDescent="0.2">
      <c r="B20" s="26" t="s">
        <v>190</v>
      </c>
      <c r="C20" s="30" t="s">
        <v>177</v>
      </c>
      <c r="D20" s="34">
        <v>45436</v>
      </c>
      <c r="E20" s="32"/>
      <c r="F20" s="36">
        <v>230000</v>
      </c>
      <c r="G20" s="206">
        <f t="shared" si="7"/>
        <v>0.99947826086956526</v>
      </c>
      <c r="H20" s="36">
        <v>229880</v>
      </c>
      <c r="I20" s="51" t="s">
        <v>59</v>
      </c>
      <c r="J20" s="122">
        <v>0</v>
      </c>
      <c r="K20" s="152">
        <v>0</v>
      </c>
      <c r="L20" s="122">
        <v>0</v>
      </c>
      <c r="M20" s="49"/>
      <c r="N20" s="232"/>
      <c r="O20" s="226"/>
      <c r="P20" s="236"/>
    </row>
    <row r="21" spans="2:16" outlineLevel="1" x14ac:dyDescent="0.2">
      <c r="B21" s="146" t="s">
        <v>140</v>
      </c>
      <c r="C21" s="229" t="s">
        <v>139</v>
      </c>
      <c r="D21" s="147">
        <v>45527</v>
      </c>
      <c r="E21" s="148"/>
      <c r="F21" s="149">
        <v>1500000</v>
      </c>
      <c r="G21" s="150">
        <f t="shared" si="7"/>
        <v>0.99241000000000001</v>
      </c>
      <c r="H21" s="149">
        <v>1488615</v>
      </c>
      <c r="I21" s="51"/>
      <c r="J21" s="149">
        <v>1500000</v>
      </c>
      <c r="K21" s="150">
        <f t="shared" ref="K21:K34" si="8">+L21/J21</f>
        <v>0.99658999999999998</v>
      </c>
      <c r="L21" s="149">
        <v>1494885</v>
      </c>
      <c r="M21" s="49"/>
      <c r="N21" s="232"/>
      <c r="O21" s="226"/>
      <c r="P21" s="236"/>
    </row>
    <row r="22" spans="2:16" outlineLevel="1" x14ac:dyDescent="0.2">
      <c r="B22" s="26" t="s">
        <v>129</v>
      </c>
      <c r="C22" s="30" t="s">
        <v>205</v>
      </c>
      <c r="D22" s="34">
        <v>45626</v>
      </c>
      <c r="E22" s="32"/>
      <c r="F22" s="36">
        <v>951000</v>
      </c>
      <c r="G22" s="206">
        <f t="shared" si="7"/>
        <v>0.97581000000000007</v>
      </c>
      <c r="H22" s="36">
        <v>927995.31</v>
      </c>
      <c r="I22" s="51"/>
      <c r="J22" s="36">
        <v>951000</v>
      </c>
      <c r="K22" s="206">
        <f t="shared" si="8"/>
        <v>0.98431999999999997</v>
      </c>
      <c r="L22" s="36">
        <v>936088.32</v>
      </c>
      <c r="M22" s="49"/>
      <c r="N22" s="232"/>
      <c r="O22" s="226"/>
      <c r="P22" s="236"/>
    </row>
    <row r="23" spans="2:16" outlineLevel="1" x14ac:dyDescent="0.2">
      <c r="B23" s="146" t="s">
        <v>219</v>
      </c>
      <c r="C23" s="229" t="s">
        <v>212</v>
      </c>
      <c r="D23" s="147">
        <v>45708</v>
      </c>
      <c r="E23" s="148"/>
      <c r="F23" s="149">
        <v>249000</v>
      </c>
      <c r="G23" s="150">
        <f t="shared" si="7"/>
        <v>1</v>
      </c>
      <c r="H23" s="149">
        <v>249000</v>
      </c>
      <c r="I23" s="51"/>
      <c r="J23" s="149">
        <v>249000</v>
      </c>
      <c r="K23" s="150">
        <f t="shared" si="8"/>
        <v>1</v>
      </c>
      <c r="L23" s="149">
        <v>249000</v>
      </c>
      <c r="M23" s="49"/>
      <c r="N23" s="232"/>
      <c r="O23" s="226"/>
      <c r="P23" s="236"/>
    </row>
    <row r="24" spans="2:16" outlineLevel="1" x14ac:dyDescent="0.2">
      <c r="B24" s="26" t="s">
        <v>213</v>
      </c>
      <c r="C24" s="30" t="s">
        <v>214</v>
      </c>
      <c r="D24" s="34">
        <v>45709</v>
      </c>
      <c r="E24" s="32"/>
      <c r="F24" s="36">
        <v>238000</v>
      </c>
      <c r="G24" s="206">
        <f t="shared" si="7"/>
        <v>1</v>
      </c>
      <c r="H24" s="36">
        <v>238000</v>
      </c>
      <c r="I24" s="51"/>
      <c r="J24" s="36">
        <v>238000</v>
      </c>
      <c r="K24" s="206">
        <f t="shared" si="8"/>
        <v>1</v>
      </c>
      <c r="L24" s="36">
        <v>238000</v>
      </c>
      <c r="M24" s="49"/>
      <c r="N24" s="232"/>
      <c r="O24" s="226"/>
      <c r="P24" s="236"/>
    </row>
    <row r="25" spans="2:16" outlineLevel="1" x14ac:dyDescent="0.2">
      <c r="B25" s="146" t="s">
        <v>155</v>
      </c>
      <c r="C25" s="229" t="s">
        <v>156</v>
      </c>
      <c r="D25" s="147">
        <v>45733</v>
      </c>
      <c r="E25" s="148"/>
      <c r="F25" s="149">
        <v>249000</v>
      </c>
      <c r="G25" s="150">
        <f t="shared" si="7"/>
        <v>1.0013300000000001</v>
      </c>
      <c r="H25" s="149">
        <v>249331.17</v>
      </c>
      <c r="I25" s="51"/>
      <c r="J25" s="149">
        <v>249000</v>
      </c>
      <c r="K25" s="150">
        <f t="shared" si="8"/>
        <v>0.99993999999999994</v>
      </c>
      <c r="L25" s="149">
        <v>248985.06</v>
      </c>
      <c r="M25" s="49"/>
      <c r="N25" s="232"/>
      <c r="O25" s="226"/>
      <c r="P25" s="236"/>
    </row>
    <row r="26" spans="2:16" outlineLevel="1" x14ac:dyDescent="0.2">
      <c r="B26" s="26" t="s">
        <v>157</v>
      </c>
      <c r="C26" s="30">
        <v>254673278</v>
      </c>
      <c r="D26" s="34">
        <v>45737</v>
      </c>
      <c r="E26" s="32"/>
      <c r="F26" s="36">
        <v>243000</v>
      </c>
      <c r="G26" s="206">
        <f t="shared" si="7"/>
        <v>1.00109</v>
      </c>
      <c r="H26" s="36">
        <v>243264.87</v>
      </c>
      <c r="I26" s="51"/>
      <c r="J26" s="36">
        <v>243000</v>
      </c>
      <c r="K26" s="206">
        <f t="shared" si="8"/>
        <v>0.99944000000000011</v>
      </c>
      <c r="L26" s="36">
        <v>242863.92</v>
      </c>
      <c r="M26" s="49"/>
      <c r="N26" s="232"/>
      <c r="O26" s="226"/>
      <c r="P26" s="236"/>
    </row>
    <row r="27" spans="2:16" outlineLevel="1" x14ac:dyDescent="0.2">
      <c r="B27" s="146" t="s">
        <v>158</v>
      </c>
      <c r="C27" s="229" t="s">
        <v>159</v>
      </c>
      <c r="D27" s="147">
        <v>45743</v>
      </c>
      <c r="E27" s="148"/>
      <c r="F27" s="149">
        <v>249000</v>
      </c>
      <c r="G27" s="150">
        <f t="shared" si="7"/>
        <v>1.00166</v>
      </c>
      <c r="H27" s="149">
        <v>249413.34</v>
      </c>
      <c r="I27" s="51"/>
      <c r="J27" s="149">
        <v>249000</v>
      </c>
      <c r="K27" s="150">
        <f t="shared" si="8"/>
        <v>1.0000800000000001</v>
      </c>
      <c r="L27" s="149">
        <v>249019.92</v>
      </c>
      <c r="M27" s="49"/>
      <c r="N27" s="232"/>
      <c r="O27" s="226"/>
      <c r="P27" s="236"/>
    </row>
    <row r="28" spans="2:16" outlineLevel="1" x14ac:dyDescent="0.2">
      <c r="B28" s="26" t="s">
        <v>163</v>
      </c>
      <c r="C28" s="30" t="s">
        <v>161</v>
      </c>
      <c r="D28" s="34">
        <v>45743</v>
      </c>
      <c r="E28" s="32"/>
      <c r="F28" s="36">
        <v>243000</v>
      </c>
      <c r="G28" s="206">
        <f t="shared" si="7"/>
        <v>1.0001</v>
      </c>
      <c r="H28" s="36">
        <v>243024.3</v>
      </c>
      <c r="I28" s="51"/>
      <c r="J28" s="36">
        <v>243000</v>
      </c>
      <c r="K28" s="206">
        <f t="shared" si="8"/>
        <v>0.99862000000000006</v>
      </c>
      <c r="L28" s="36">
        <v>242664.66</v>
      </c>
      <c r="M28" s="49"/>
      <c r="N28" s="232"/>
      <c r="O28" s="226"/>
      <c r="P28" s="236"/>
    </row>
    <row r="29" spans="2:16" outlineLevel="1" x14ac:dyDescent="0.2">
      <c r="B29" s="146" t="s">
        <v>129</v>
      </c>
      <c r="C29" s="229" t="s">
        <v>194</v>
      </c>
      <c r="D29" s="147">
        <v>45884</v>
      </c>
      <c r="E29" s="148"/>
      <c r="F29" s="149">
        <v>998000</v>
      </c>
      <c r="G29" s="150">
        <f t="shared" si="7"/>
        <v>0.97733999999999999</v>
      </c>
      <c r="H29" s="149">
        <v>975385.32</v>
      </c>
      <c r="I29" s="51"/>
      <c r="J29" s="149">
        <v>998000</v>
      </c>
      <c r="K29" s="150">
        <f t="shared" si="8"/>
        <v>0.97902</v>
      </c>
      <c r="L29" s="149">
        <v>977061.96</v>
      </c>
      <c r="M29" s="49"/>
      <c r="N29" s="232"/>
      <c r="O29" s="226"/>
      <c r="P29" s="236"/>
    </row>
    <row r="30" spans="2:16" outlineLevel="1" x14ac:dyDescent="0.2">
      <c r="B30" s="26" t="s">
        <v>220</v>
      </c>
      <c r="C30" s="30" t="s">
        <v>215</v>
      </c>
      <c r="D30" s="34">
        <v>45890</v>
      </c>
      <c r="E30" s="32"/>
      <c r="F30" s="36">
        <v>244000</v>
      </c>
      <c r="G30" s="206">
        <f t="shared" si="7"/>
        <v>0.99789000000000005</v>
      </c>
      <c r="H30" s="36">
        <v>243485.16</v>
      </c>
      <c r="I30" s="51"/>
      <c r="J30" s="36">
        <v>244000</v>
      </c>
      <c r="K30" s="206">
        <f t="shared" si="8"/>
        <v>0.99634</v>
      </c>
      <c r="L30" s="36">
        <v>243106.96</v>
      </c>
      <c r="M30" s="49"/>
      <c r="N30" s="232"/>
      <c r="O30" s="226"/>
      <c r="P30" s="236"/>
    </row>
    <row r="31" spans="2:16" outlineLevel="1" x14ac:dyDescent="0.2">
      <c r="B31" s="146" t="s">
        <v>203</v>
      </c>
      <c r="C31" s="229" t="s">
        <v>195</v>
      </c>
      <c r="D31" s="147">
        <v>45894</v>
      </c>
      <c r="E31" s="148"/>
      <c r="F31" s="149">
        <v>243000</v>
      </c>
      <c r="G31" s="150">
        <f t="shared" si="7"/>
        <v>1.00074</v>
      </c>
      <c r="H31" s="149">
        <v>243179.82</v>
      </c>
      <c r="I31" s="51"/>
      <c r="J31" s="149">
        <v>243000</v>
      </c>
      <c r="K31" s="150">
        <f t="shared" si="8"/>
        <v>0.99869000000000008</v>
      </c>
      <c r="L31" s="149">
        <v>242681.67</v>
      </c>
      <c r="M31" s="49"/>
      <c r="N31" s="232"/>
      <c r="O31" s="226"/>
      <c r="P31" s="236"/>
    </row>
    <row r="32" spans="2:16" outlineLevel="1" x14ac:dyDescent="0.2">
      <c r="B32" s="26" t="s">
        <v>196</v>
      </c>
      <c r="C32" s="30" t="s">
        <v>197</v>
      </c>
      <c r="D32" s="34">
        <v>45894</v>
      </c>
      <c r="E32" s="32"/>
      <c r="F32" s="36">
        <v>243000</v>
      </c>
      <c r="G32" s="206">
        <f t="shared" si="7"/>
        <v>0.99992999999999999</v>
      </c>
      <c r="H32" s="36">
        <v>242982.99</v>
      </c>
      <c r="I32" s="51"/>
      <c r="J32" s="36">
        <v>243000</v>
      </c>
      <c r="K32" s="206">
        <f t="shared" si="8"/>
        <v>0.998</v>
      </c>
      <c r="L32" s="36">
        <v>242514</v>
      </c>
      <c r="M32" s="49"/>
      <c r="N32" s="232"/>
      <c r="O32" s="226"/>
      <c r="P32" s="236"/>
    </row>
    <row r="33" spans="1:16" outlineLevel="1" x14ac:dyDescent="0.2">
      <c r="B33" s="146" t="s">
        <v>221</v>
      </c>
      <c r="C33" s="229" t="s">
        <v>218</v>
      </c>
      <c r="D33" s="147">
        <v>46073</v>
      </c>
      <c r="E33" s="148"/>
      <c r="F33" s="149">
        <v>244000</v>
      </c>
      <c r="G33" s="150">
        <f t="shared" si="7"/>
        <v>0.99585999999999997</v>
      </c>
      <c r="H33" s="149">
        <v>242989.84</v>
      </c>
      <c r="I33" s="51"/>
      <c r="J33" s="149">
        <v>244000</v>
      </c>
      <c r="K33" s="150">
        <f t="shared" si="8"/>
        <v>0.99439</v>
      </c>
      <c r="L33" s="149">
        <v>242631.16</v>
      </c>
      <c r="M33" s="49"/>
      <c r="N33" s="232"/>
      <c r="O33" s="226"/>
      <c r="P33" s="236"/>
    </row>
    <row r="34" spans="1:16" outlineLevel="1" x14ac:dyDescent="0.2">
      <c r="B34" s="26" t="s">
        <v>254</v>
      </c>
      <c r="C34" s="30" t="s">
        <v>228</v>
      </c>
      <c r="D34" s="34">
        <v>46080</v>
      </c>
      <c r="F34" s="19">
        <v>0</v>
      </c>
      <c r="G34" s="19">
        <v>0</v>
      </c>
      <c r="H34" s="19">
        <v>0</v>
      </c>
      <c r="I34" s="51" t="s">
        <v>59</v>
      </c>
      <c r="J34" s="19">
        <v>2000000</v>
      </c>
      <c r="K34" s="19">
        <f t="shared" si="8"/>
        <v>1</v>
      </c>
      <c r="L34" s="19">
        <v>2000000</v>
      </c>
      <c r="M34" s="49"/>
      <c r="N34" s="232"/>
      <c r="O34" s="226"/>
      <c r="P34" s="236"/>
    </row>
    <row r="35" spans="1:16" ht="12" customHeight="1" x14ac:dyDescent="0.2">
      <c r="A35" s="46" t="s">
        <v>76</v>
      </c>
      <c r="C35" s="29"/>
      <c r="D35" s="34"/>
      <c r="E35" s="32"/>
      <c r="F35" s="155">
        <f>SUM(F6:F34)</f>
        <v>59387050.780000001</v>
      </c>
      <c r="G35" s="156">
        <f t="shared" ref="G35" si="9">+H35/F35</f>
        <v>0.99901865071198948</v>
      </c>
      <c r="H35" s="155">
        <f>SUM(H6:H34)</f>
        <v>59328771.340000004</v>
      </c>
      <c r="I35" s="47"/>
      <c r="J35" s="155">
        <f>SUM(J6:J34)</f>
        <v>47339849.390000001</v>
      </c>
      <c r="K35" s="156">
        <f t="shared" ref="K35" si="10">+L35/J35</f>
        <v>0.99906004411561566</v>
      </c>
      <c r="L35" s="155">
        <f>SUM(L6:L34)</f>
        <v>47295352.020000003</v>
      </c>
      <c r="M35" s="48"/>
      <c r="N35" s="232">
        <f>SUM(L35-H35)</f>
        <v>-12033419.32</v>
      </c>
      <c r="O35" s="226"/>
      <c r="P35" s="236">
        <v>-12562139.560000001</v>
      </c>
    </row>
    <row r="36" spans="1:16" ht="12" customHeight="1" x14ac:dyDescent="0.2">
      <c r="A36" s="46"/>
      <c r="C36" s="29"/>
      <c r="D36" s="34"/>
      <c r="E36" s="32"/>
      <c r="F36" s="35"/>
      <c r="G36" s="206"/>
      <c r="H36" s="35"/>
      <c r="I36" s="47"/>
      <c r="J36" s="35"/>
      <c r="K36" s="206"/>
      <c r="L36" s="35"/>
      <c r="M36" s="48"/>
      <c r="N36" s="232"/>
      <c r="O36" s="226"/>
      <c r="P36" s="236"/>
    </row>
    <row r="37" spans="1:16" ht="12" customHeight="1" x14ac:dyDescent="0.2">
      <c r="A37" s="46"/>
      <c r="C37" s="29"/>
      <c r="D37" s="34"/>
      <c r="E37" s="32"/>
      <c r="F37" s="35"/>
      <c r="G37" s="206"/>
      <c r="H37" s="35"/>
      <c r="I37" s="47"/>
      <c r="J37" s="35"/>
      <c r="K37" s="206"/>
      <c r="L37" s="35"/>
      <c r="M37" s="48"/>
      <c r="N37" s="232"/>
      <c r="O37" s="226"/>
      <c r="P37" s="236"/>
    </row>
    <row r="38" spans="1:16" ht="12" customHeight="1" x14ac:dyDescent="0.2">
      <c r="A38" s="46" t="s">
        <v>126</v>
      </c>
      <c r="B38" s="26" t="s">
        <v>110</v>
      </c>
      <c r="C38" s="29"/>
      <c r="D38" s="34">
        <v>45473</v>
      </c>
      <c r="E38" s="32"/>
      <c r="F38" s="19">
        <v>13470816.98</v>
      </c>
      <c r="G38" s="66">
        <f t="shared" ref="G38:G39" si="11">+H38/F38</f>
        <v>1</v>
      </c>
      <c r="H38" s="19">
        <f>SUM(F38)</f>
        <v>13470816.98</v>
      </c>
      <c r="I38" s="47" t="s">
        <v>59</v>
      </c>
      <c r="J38" s="19">
        <v>13485280.800000001</v>
      </c>
      <c r="K38" s="66">
        <f t="shared" si="3"/>
        <v>1</v>
      </c>
      <c r="L38" s="19">
        <f>SUM(J38)</f>
        <v>13485280.800000001</v>
      </c>
      <c r="M38" s="48"/>
      <c r="N38" s="232"/>
      <c r="O38" s="226"/>
      <c r="P38" s="236"/>
    </row>
    <row r="39" spans="1:16" ht="12" customHeight="1" x14ac:dyDescent="0.2">
      <c r="A39" s="46"/>
      <c r="C39" s="29"/>
      <c r="D39" s="34"/>
      <c r="E39" s="32"/>
      <c r="F39" s="155">
        <f>SUM(F38)</f>
        <v>13470816.98</v>
      </c>
      <c r="G39" s="156">
        <f t="shared" si="11"/>
        <v>1</v>
      </c>
      <c r="H39" s="155">
        <f>SUM(H38)</f>
        <v>13470816.98</v>
      </c>
      <c r="I39" s="47"/>
      <c r="J39" s="155">
        <f>SUM(J38)</f>
        <v>13485280.800000001</v>
      </c>
      <c r="K39" s="156">
        <f t="shared" si="3"/>
        <v>1</v>
      </c>
      <c r="L39" s="155">
        <f>SUM(L38)</f>
        <v>13485280.800000001</v>
      </c>
      <c r="M39" s="48"/>
      <c r="N39" s="232">
        <f>+SUM(L39-H39)</f>
        <v>14463.820000000298</v>
      </c>
      <c r="O39" s="226"/>
      <c r="P39" s="236">
        <v>-317382.45</v>
      </c>
    </row>
    <row r="40" spans="1:16" ht="12" customHeight="1" x14ac:dyDescent="0.2">
      <c r="A40" s="46"/>
      <c r="C40" s="29"/>
      <c r="D40" s="34"/>
      <c r="E40" s="32"/>
      <c r="F40" s="35"/>
      <c r="G40" s="66"/>
      <c r="H40" s="35"/>
      <c r="I40" s="47"/>
      <c r="J40" s="35"/>
      <c r="K40" s="66"/>
      <c r="L40" s="35"/>
      <c r="M40" s="48"/>
      <c r="N40" s="232"/>
      <c r="O40" s="226"/>
      <c r="P40" s="236"/>
    </row>
    <row r="41" spans="1:16" ht="12" customHeight="1" x14ac:dyDescent="0.2">
      <c r="A41" s="46" t="s">
        <v>78</v>
      </c>
      <c r="B41" s="26" t="s">
        <v>110</v>
      </c>
      <c r="C41" s="227"/>
      <c r="D41" s="34">
        <v>45473</v>
      </c>
      <c r="E41" s="32"/>
      <c r="F41" s="19">
        <v>5169.32</v>
      </c>
      <c r="G41" s="66">
        <f t="shared" ref="G41:G42" si="12">+H41/F41</f>
        <v>1</v>
      </c>
      <c r="H41" s="19">
        <f>SUM(F41)</f>
        <v>5169.32</v>
      </c>
      <c r="I41" s="47" t="s">
        <v>59</v>
      </c>
      <c r="J41" s="19">
        <v>5215.17</v>
      </c>
      <c r="K41" s="66">
        <f>+L41/J41</f>
        <v>1</v>
      </c>
      <c r="L41" s="19">
        <f>SUM(J41)</f>
        <v>5215.17</v>
      </c>
      <c r="M41" s="49"/>
      <c r="N41" s="233"/>
      <c r="O41" s="226"/>
      <c r="P41" s="236"/>
    </row>
    <row r="42" spans="1:16" ht="12" customHeight="1" x14ac:dyDescent="0.2">
      <c r="A42" s="46"/>
      <c r="C42" s="227"/>
      <c r="D42" s="34"/>
      <c r="E42" s="32"/>
      <c r="F42" s="155">
        <f>SUM(F41)</f>
        <v>5169.32</v>
      </c>
      <c r="G42" s="156">
        <f t="shared" si="12"/>
        <v>1</v>
      </c>
      <c r="H42" s="155">
        <f>SUM(H41)</f>
        <v>5169.32</v>
      </c>
      <c r="I42" s="47"/>
      <c r="J42" s="155">
        <f>SUM(J41)</f>
        <v>5215.17</v>
      </c>
      <c r="K42" s="156">
        <f>+L42/J42</f>
        <v>1</v>
      </c>
      <c r="L42" s="155">
        <f>SUM(L41)</f>
        <v>5215.17</v>
      </c>
      <c r="M42" s="48"/>
      <c r="N42" s="233">
        <f>SUM(L42-H42)</f>
        <v>45.850000000000364</v>
      </c>
      <c r="O42" s="226"/>
      <c r="P42" s="236">
        <v>20.28</v>
      </c>
    </row>
    <row r="43" spans="1:16" ht="12" customHeight="1" x14ac:dyDescent="0.2">
      <c r="A43" s="46"/>
      <c r="C43" s="227"/>
      <c r="D43" s="34"/>
      <c r="E43" s="32"/>
      <c r="F43" s="35"/>
      <c r="G43" s="66"/>
      <c r="H43" s="35"/>
      <c r="I43" s="47"/>
      <c r="J43" s="35"/>
      <c r="K43" s="66"/>
      <c r="L43" s="35"/>
      <c r="M43" s="48"/>
      <c r="N43" s="233"/>
      <c r="O43" s="226"/>
      <c r="P43" s="236"/>
    </row>
    <row r="44" spans="1:16" ht="12" customHeight="1" x14ac:dyDescent="0.2">
      <c r="A44" s="46"/>
      <c r="C44" s="227"/>
      <c r="D44" s="34"/>
      <c r="E44" s="32"/>
      <c r="F44" s="35"/>
      <c r="G44" s="66"/>
      <c r="H44" s="35"/>
      <c r="I44" s="47"/>
      <c r="J44" s="35"/>
      <c r="K44" s="66"/>
      <c r="L44" s="35"/>
      <c r="M44" s="48"/>
      <c r="N44" s="233"/>
      <c r="O44" s="226"/>
      <c r="P44" s="236"/>
    </row>
    <row r="45" spans="1:16" x14ac:dyDescent="0.2">
      <c r="A45" s="46" t="s">
        <v>6</v>
      </c>
      <c r="B45" s="26" t="s">
        <v>110</v>
      </c>
      <c r="C45" s="227"/>
      <c r="D45" s="34">
        <v>45473</v>
      </c>
      <c r="E45" s="32"/>
      <c r="F45" s="31">
        <v>6105.57</v>
      </c>
      <c r="G45" s="66">
        <f t="shared" ref="G45:G46" si="13">+H45/F45</f>
        <v>1</v>
      </c>
      <c r="H45" s="19">
        <f>SUM(F45)</f>
        <v>6105.57</v>
      </c>
      <c r="I45" s="51" t="s">
        <v>59</v>
      </c>
      <c r="J45" s="31">
        <v>6159.77</v>
      </c>
      <c r="K45" s="66">
        <f t="shared" ref="K45:K46" si="14">+L45/J45</f>
        <v>1</v>
      </c>
      <c r="L45" s="19">
        <f>SUM(J45)</f>
        <v>6159.77</v>
      </c>
      <c r="M45" s="49"/>
      <c r="N45" s="233"/>
      <c r="O45" s="226"/>
      <c r="P45" s="236"/>
    </row>
    <row r="46" spans="1:16" x14ac:dyDescent="0.2">
      <c r="A46" s="46"/>
      <c r="C46" s="227"/>
      <c r="D46" s="34"/>
      <c r="E46" s="32"/>
      <c r="F46" s="155">
        <f>SUM(F45)</f>
        <v>6105.57</v>
      </c>
      <c r="G46" s="156">
        <f t="shared" si="13"/>
        <v>1</v>
      </c>
      <c r="H46" s="155">
        <f>SUM(H45)</f>
        <v>6105.57</v>
      </c>
      <c r="I46" s="47"/>
      <c r="J46" s="155">
        <f>SUM(J45)</f>
        <v>6159.77</v>
      </c>
      <c r="K46" s="156">
        <f t="shared" si="14"/>
        <v>1</v>
      </c>
      <c r="L46" s="155">
        <f>SUM(L45)</f>
        <v>6159.77</v>
      </c>
      <c r="M46" s="48"/>
      <c r="N46" s="233">
        <f>SUM(L46-H46)</f>
        <v>54.200000000000728</v>
      </c>
      <c r="O46" s="226"/>
      <c r="P46" s="236">
        <v>23.96</v>
      </c>
    </row>
    <row r="47" spans="1:16" x14ac:dyDescent="0.2">
      <c r="A47" s="46"/>
      <c r="C47" s="227"/>
      <c r="D47" s="34"/>
      <c r="E47" s="32"/>
      <c r="F47" s="35"/>
      <c r="G47" s="66"/>
      <c r="H47" s="35"/>
      <c r="I47" s="47"/>
      <c r="J47" s="35"/>
      <c r="K47" s="66"/>
      <c r="L47" s="35"/>
      <c r="M47" s="48"/>
      <c r="N47" s="233"/>
      <c r="O47" s="226"/>
      <c r="P47" s="236"/>
    </row>
    <row r="48" spans="1:16" x14ac:dyDescent="0.2">
      <c r="A48" s="46"/>
      <c r="C48" s="227"/>
      <c r="D48" s="34"/>
      <c r="E48" s="32"/>
      <c r="F48" s="35"/>
      <c r="G48" s="66"/>
      <c r="H48" s="35"/>
      <c r="I48" s="47"/>
      <c r="J48" s="35"/>
      <c r="K48" s="66"/>
      <c r="L48" s="35"/>
      <c r="M48" s="48"/>
      <c r="N48" s="233"/>
      <c r="O48" s="226"/>
      <c r="P48" s="236"/>
    </row>
    <row r="49" spans="1:16" ht="13.5" customHeight="1" x14ac:dyDescent="0.2">
      <c r="A49" s="46" t="s">
        <v>117</v>
      </c>
      <c r="B49" s="26" t="s">
        <v>110</v>
      </c>
      <c r="C49" s="227"/>
      <c r="D49" s="34">
        <v>45473</v>
      </c>
      <c r="E49" s="32"/>
      <c r="F49" s="19">
        <v>6173158.2699999996</v>
      </c>
      <c r="G49" s="66">
        <f>+H49/F49</f>
        <v>1</v>
      </c>
      <c r="H49" s="19">
        <f>SUM(F49)</f>
        <v>6173158.2699999996</v>
      </c>
      <c r="I49" s="47" t="s">
        <v>59</v>
      </c>
      <c r="J49" s="19">
        <v>5692571.6100000003</v>
      </c>
      <c r="K49" s="66">
        <f>+L49/J49</f>
        <v>1</v>
      </c>
      <c r="L49" s="19">
        <f>SUM(J49)</f>
        <v>5692571.6100000003</v>
      </c>
      <c r="M49" s="48"/>
      <c r="N49" s="233"/>
      <c r="O49" s="226"/>
      <c r="P49" s="236"/>
    </row>
    <row r="50" spans="1:16" ht="13.5" customHeight="1" x14ac:dyDescent="0.2">
      <c r="A50" s="46"/>
      <c r="B50" s="146" t="s">
        <v>129</v>
      </c>
      <c r="C50" s="229" t="s">
        <v>199</v>
      </c>
      <c r="D50" s="147">
        <v>45519</v>
      </c>
      <c r="E50" s="148"/>
      <c r="F50" s="151">
        <v>750000</v>
      </c>
      <c r="G50" s="150">
        <f>+H50/F50</f>
        <v>0.98900999999999994</v>
      </c>
      <c r="H50" s="151">
        <v>741757.5</v>
      </c>
      <c r="I50" s="47" t="s">
        <v>59</v>
      </c>
      <c r="J50" s="151">
        <v>750000</v>
      </c>
      <c r="K50" s="150">
        <f>+L50/J50</f>
        <v>0.99621000000000004</v>
      </c>
      <c r="L50" s="151">
        <v>747157.5</v>
      </c>
      <c r="M50" s="48"/>
      <c r="N50" s="233"/>
      <c r="O50" s="226"/>
      <c r="P50" s="236"/>
    </row>
    <row r="51" spans="1:16" ht="13.5" customHeight="1" x14ac:dyDescent="0.2">
      <c r="A51" s="46"/>
      <c r="B51" s="26" t="s">
        <v>200</v>
      </c>
      <c r="C51" s="30" t="s">
        <v>201</v>
      </c>
      <c r="D51" s="34">
        <v>45852</v>
      </c>
      <c r="E51" s="32"/>
      <c r="F51" s="19">
        <v>243000</v>
      </c>
      <c r="G51" s="66">
        <f>+H51/F51</f>
        <v>1.0001599999999999</v>
      </c>
      <c r="H51" s="19">
        <v>243038.88</v>
      </c>
      <c r="I51" s="47" t="s">
        <v>59</v>
      </c>
      <c r="J51" s="19">
        <v>243000</v>
      </c>
      <c r="K51" s="66">
        <f>+L51/J51</f>
        <v>0.99833000000000005</v>
      </c>
      <c r="L51" s="19">
        <v>242594.19</v>
      </c>
      <c r="M51" s="48"/>
      <c r="N51" s="233"/>
      <c r="O51" s="226"/>
      <c r="P51" s="236"/>
    </row>
    <row r="52" spans="1:16" x14ac:dyDescent="0.2">
      <c r="A52" s="46"/>
      <c r="C52" s="227"/>
      <c r="D52" s="34"/>
      <c r="E52" s="32"/>
      <c r="F52" s="155">
        <f>SUM(F49:F51)</f>
        <v>7166158.2699999996</v>
      </c>
      <c r="G52" s="156">
        <f>+H52/F52</f>
        <v>0.99885522762812218</v>
      </c>
      <c r="H52" s="155">
        <f>SUM(H49:H51)</f>
        <v>7157954.6499999994</v>
      </c>
      <c r="I52" s="47"/>
      <c r="J52" s="155">
        <f>SUM(J49:J51)</f>
        <v>6685571.6100000003</v>
      </c>
      <c r="K52" s="156">
        <f>+L52/J52</f>
        <v>0.99951413129804179</v>
      </c>
      <c r="L52" s="155">
        <f>SUM(L49:L51)</f>
        <v>6682323.3000000007</v>
      </c>
      <c r="M52" s="48"/>
      <c r="N52" s="233">
        <f>SUM(L52-H52)</f>
        <v>-475631.3499999987</v>
      </c>
      <c r="O52" s="226"/>
      <c r="P52" s="236">
        <v>-622046.29</v>
      </c>
    </row>
    <row r="53" spans="1:16" x14ac:dyDescent="0.2">
      <c r="A53" s="46"/>
      <c r="C53" s="227"/>
      <c r="D53" s="34"/>
      <c r="E53" s="32"/>
      <c r="F53" s="35"/>
      <c r="G53" s="66"/>
      <c r="H53" s="35"/>
      <c r="I53" s="47"/>
      <c r="J53" s="35"/>
      <c r="K53" s="66"/>
      <c r="L53" s="35"/>
      <c r="M53" s="48"/>
      <c r="N53" s="233"/>
      <c r="O53" s="226"/>
      <c r="P53" s="236"/>
    </row>
    <row r="54" spans="1:16" x14ac:dyDescent="0.2">
      <c r="A54" s="46" t="s">
        <v>10</v>
      </c>
      <c r="B54" s="26" t="s">
        <v>110</v>
      </c>
      <c r="D54" s="34">
        <v>45473</v>
      </c>
      <c r="E54" s="32"/>
      <c r="F54" s="19">
        <v>74010.820000000007</v>
      </c>
      <c r="G54" s="67">
        <f>H54/F54</f>
        <v>1</v>
      </c>
      <c r="H54" s="19">
        <f>SUM(F54)</f>
        <v>74010.820000000007</v>
      </c>
      <c r="I54" s="51" t="s">
        <v>59</v>
      </c>
      <c r="J54" s="19">
        <v>75523.61</v>
      </c>
      <c r="K54" s="67">
        <f>L54/J54</f>
        <v>1</v>
      </c>
      <c r="L54" s="19">
        <f>SUM(J54)</f>
        <v>75523.61</v>
      </c>
      <c r="M54" s="49"/>
      <c r="N54" s="233"/>
      <c r="O54" s="226"/>
      <c r="P54" s="236"/>
    </row>
    <row r="55" spans="1:16" x14ac:dyDescent="0.2">
      <c r="A55" s="22"/>
      <c r="B55"/>
      <c r="C55" s="29"/>
      <c r="D55" s="34"/>
      <c r="E55"/>
      <c r="F55" s="155">
        <f>SUM(F54)</f>
        <v>74010.820000000007</v>
      </c>
      <c r="G55" s="157">
        <f>H55/F55</f>
        <v>1</v>
      </c>
      <c r="H55" s="155">
        <f>SUM(H54)</f>
        <v>74010.820000000007</v>
      </c>
      <c r="I55" s="47"/>
      <c r="J55" s="155">
        <f>SUM(J54)</f>
        <v>75523.61</v>
      </c>
      <c r="K55" s="157">
        <f>L55/J55</f>
        <v>1</v>
      </c>
      <c r="L55" s="155">
        <f>SUM(L54)</f>
        <v>75523.61</v>
      </c>
      <c r="M55" s="48"/>
      <c r="N55" s="233">
        <f>SUM(L55-H55)</f>
        <v>1512.7899999999936</v>
      </c>
      <c r="O55" s="226"/>
      <c r="P55" s="236">
        <v>-65.81</v>
      </c>
    </row>
    <row r="56" spans="1:16" x14ac:dyDescent="0.2">
      <c r="A56" s="46"/>
      <c r="G56" s="67"/>
      <c r="I56" s="51"/>
      <c r="K56" s="67"/>
      <c r="M56" s="49"/>
      <c r="N56" s="233"/>
      <c r="O56" s="226"/>
      <c r="P56" s="236"/>
    </row>
    <row r="57" spans="1:16" x14ac:dyDescent="0.2">
      <c r="A57" s="46" t="s">
        <v>33</v>
      </c>
      <c r="B57" s="26" t="s">
        <v>110</v>
      </c>
      <c r="D57" s="34">
        <v>45473</v>
      </c>
      <c r="E57" s="32"/>
      <c r="F57" s="19">
        <v>35031.71</v>
      </c>
      <c r="G57" s="67">
        <f t="shared" ref="G57:G58" si="15">H57/F57</f>
        <v>1</v>
      </c>
      <c r="H57" s="19">
        <f>SUM(F57)</f>
        <v>35031.71</v>
      </c>
      <c r="I57" s="51" t="s">
        <v>59</v>
      </c>
      <c r="J57" s="19">
        <v>454293.72</v>
      </c>
      <c r="K57" s="67">
        <f>L57/J57</f>
        <v>1</v>
      </c>
      <c r="L57" s="19">
        <f>SUM(J57)</f>
        <v>454293.72</v>
      </c>
      <c r="M57" s="49"/>
      <c r="N57" s="233"/>
      <c r="O57" s="226"/>
      <c r="P57" s="236"/>
    </row>
    <row r="58" spans="1:16" x14ac:dyDescent="0.2">
      <c r="A58" s="46"/>
      <c r="B58" s="26" t="s">
        <v>110</v>
      </c>
      <c r="F58" s="155">
        <f>SUM(F57)</f>
        <v>35031.71</v>
      </c>
      <c r="G58" s="157">
        <f t="shared" si="15"/>
        <v>1</v>
      </c>
      <c r="H58" s="155">
        <f>SUM(H57)</f>
        <v>35031.71</v>
      </c>
      <c r="I58" s="47"/>
      <c r="J58" s="155">
        <f>SUM(J57)</f>
        <v>454293.72</v>
      </c>
      <c r="K58" s="157">
        <f>L58/J58</f>
        <v>1</v>
      </c>
      <c r="L58" s="155">
        <f>SUM(L57)</f>
        <v>454293.72</v>
      </c>
      <c r="M58" s="48"/>
      <c r="N58" s="233">
        <f>SUM(L58-H58)</f>
        <v>419262.00999999995</v>
      </c>
      <c r="O58" s="226"/>
      <c r="P58" s="236">
        <v>251032.53</v>
      </c>
    </row>
    <row r="59" spans="1:16" x14ac:dyDescent="0.2">
      <c r="A59" s="46"/>
      <c r="C59" s="227"/>
      <c r="D59" s="34"/>
      <c r="E59" s="32"/>
      <c r="F59" s="35"/>
      <c r="G59" s="66"/>
      <c r="H59" s="35"/>
      <c r="I59" s="47"/>
      <c r="J59" s="35"/>
      <c r="K59" s="66"/>
      <c r="L59" s="35"/>
      <c r="M59" s="48"/>
      <c r="N59" s="233"/>
      <c r="O59" s="226"/>
      <c r="P59" s="236"/>
    </row>
    <row r="60" spans="1:16" x14ac:dyDescent="0.2">
      <c r="A60" s="46" t="s">
        <v>92</v>
      </c>
      <c r="B60" s="26" t="s">
        <v>110</v>
      </c>
      <c r="D60" s="34">
        <v>45473</v>
      </c>
      <c r="E60" s="32"/>
      <c r="F60" s="19">
        <v>1078632.06</v>
      </c>
      <c r="G60" s="67">
        <f t="shared" ref="G60:G61" si="16">H60/F60</f>
        <v>1</v>
      </c>
      <c r="H60" s="19">
        <f>SUM(F60)</f>
        <v>1078632.06</v>
      </c>
      <c r="I60" s="51" t="s">
        <v>59</v>
      </c>
      <c r="J60" s="19">
        <v>1088308.55</v>
      </c>
      <c r="K60" s="67">
        <f>L60/J60</f>
        <v>1</v>
      </c>
      <c r="L60" s="19">
        <f>SUM(J60)</f>
        <v>1088308.55</v>
      </c>
      <c r="M60" s="49"/>
      <c r="N60" s="233"/>
      <c r="O60" s="226"/>
      <c r="P60" s="236"/>
    </row>
    <row r="61" spans="1:16" x14ac:dyDescent="0.2">
      <c r="A61" s="46"/>
      <c r="F61" s="155">
        <f>SUM(F60)</f>
        <v>1078632.06</v>
      </c>
      <c r="G61" s="157">
        <f t="shared" si="16"/>
        <v>1</v>
      </c>
      <c r="H61" s="155">
        <f>SUM(H60)</f>
        <v>1078632.06</v>
      </c>
      <c r="I61" s="47"/>
      <c r="J61" s="155">
        <f>SUM(J60)</f>
        <v>1088308.55</v>
      </c>
      <c r="K61" s="157">
        <f>L61/J61</f>
        <v>1</v>
      </c>
      <c r="L61" s="155">
        <f>SUM(L60)</f>
        <v>1088308.55</v>
      </c>
      <c r="M61" s="48"/>
      <c r="N61" s="233">
        <f>SUM(L61-H61)</f>
        <v>9676.4899999999907</v>
      </c>
      <c r="O61" s="226"/>
      <c r="P61" s="236">
        <v>4464.33</v>
      </c>
    </row>
    <row r="62" spans="1:16" x14ac:dyDescent="0.2">
      <c r="A62" s="46"/>
      <c r="F62" s="35"/>
      <c r="G62" s="67"/>
      <c r="H62" s="35"/>
      <c r="I62" s="47"/>
      <c r="J62" s="35"/>
      <c r="K62" s="67"/>
      <c r="L62" s="35"/>
      <c r="M62" s="48"/>
      <c r="N62" s="233"/>
      <c r="O62" s="226"/>
      <c r="P62" s="236"/>
    </row>
    <row r="63" spans="1:16" x14ac:dyDescent="0.2">
      <c r="A63" s="46" t="s">
        <v>60</v>
      </c>
      <c r="B63" s="103" t="s">
        <v>110</v>
      </c>
      <c r="D63" s="34">
        <v>45473</v>
      </c>
      <c r="E63" s="32"/>
      <c r="F63" s="19">
        <v>2082585.12</v>
      </c>
      <c r="G63" s="67">
        <f t="shared" ref="G63:G67" si="17">H63/F63</f>
        <v>1</v>
      </c>
      <c r="H63" s="19">
        <f>SUM(F63)</f>
        <v>2082585.12</v>
      </c>
      <c r="I63" s="51" t="s">
        <v>59</v>
      </c>
      <c r="J63" s="19">
        <v>2353144.2799999998</v>
      </c>
      <c r="K63" s="67">
        <f t="shared" ref="K63:K67" si="18">L63/J63</f>
        <v>1</v>
      </c>
      <c r="L63" s="19">
        <f>SUM(J63)</f>
        <v>2353144.2799999998</v>
      </c>
      <c r="M63" s="49"/>
      <c r="N63" s="234"/>
      <c r="O63" s="226"/>
      <c r="P63" s="236"/>
    </row>
    <row r="64" spans="1:16" x14ac:dyDescent="0.2">
      <c r="A64" s="46"/>
      <c r="B64" s="146" t="s">
        <v>120</v>
      </c>
      <c r="C64" s="229"/>
      <c r="D64" s="147">
        <v>45382</v>
      </c>
      <c r="E64" s="148"/>
      <c r="F64" s="151">
        <v>4280.47</v>
      </c>
      <c r="G64" s="154">
        <f t="shared" si="17"/>
        <v>1</v>
      </c>
      <c r="H64" s="151">
        <f>SUM(F64)</f>
        <v>4280.47</v>
      </c>
      <c r="I64" s="51" t="s">
        <v>59</v>
      </c>
      <c r="J64" s="151">
        <v>4375.0600000000004</v>
      </c>
      <c r="K64" s="154">
        <f t="shared" si="18"/>
        <v>1</v>
      </c>
      <c r="L64" s="151">
        <f>SUM(J64)</f>
        <v>4375.0600000000004</v>
      </c>
      <c r="M64" s="49"/>
      <c r="N64" s="234"/>
      <c r="O64" s="226"/>
      <c r="P64" s="236"/>
    </row>
    <row r="65" spans="1:16" x14ac:dyDescent="0.2">
      <c r="A65" s="46"/>
      <c r="B65" s="26" t="s">
        <v>164</v>
      </c>
      <c r="D65" s="34">
        <v>45408</v>
      </c>
      <c r="E65" s="32"/>
      <c r="F65" s="19">
        <v>1000000</v>
      </c>
      <c r="G65" s="67">
        <f t="shared" si="17"/>
        <v>1</v>
      </c>
      <c r="H65" s="19">
        <f>SUM(F65)</f>
        <v>1000000</v>
      </c>
      <c r="I65" s="51" t="s">
        <v>59</v>
      </c>
      <c r="J65" s="19">
        <v>0</v>
      </c>
      <c r="K65" s="67">
        <v>0</v>
      </c>
      <c r="L65" s="19">
        <f>SUM(J65)</f>
        <v>0</v>
      </c>
      <c r="M65" s="49"/>
      <c r="N65" s="234"/>
      <c r="O65" s="226"/>
      <c r="P65" s="236"/>
    </row>
    <row r="66" spans="1:16" x14ac:dyDescent="0.2">
      <c r="A66" s="46"/>
      <c r="B66" s="146" t="s">
        <v>164</v>
      </c>
      <c r="C66" s="229"/>
      <c r="D66" s="147">
        <v>45646</v>
      </c>
      <c r="E66" s="148"/>
      <c r="F66" s="151">
        <v>0</v>
      </c>
      <c r="G66" s="154">
        <v>0</v>
      </c>
      <c r="H66" s="151"/>
      <c r="I66" s="51"/>
      <c r="J66" s="151">
        <v>1000000</v>
      </c>
      <c r="K66" s="154">
        <f t="shared" si="18"/>
        <v>1</v>
      </c>
      <c r="L66" s="151">
        <v>1000000</v>
      </c>
      <c r="M66" s="49"/>
      <c r="N66" s="234"/>
      <c r="O66" s="226"/>
      <c r="P66" s="236"/>
    </row>
    <row r="67" spans="1:16" x14ac:dyDescent="0.2">
      <c r="A67" s="46"/>
      <c r="D67" s="34"/>
      <c r="E67" s="32"/>
      <c r="F67" s="155">
        <f>SUM(F63:F66)</f>
        <v>3086865.59</v>
      </c>
      <c r="G67" s="157">
        <f t="shared" si="17"/>
        <v>1</v>
      </c>
      <c r="H67" s="155">
        <f>SUM(H63:H66)</f>
        <v>3086865.59</v>
      </c>
      <c r="I67" s="47"/>
      <c r="J67" s="155">
        <f>SUM(J63:J66)</f>
        <v>3357519.34</v>
      </c>
      <c r="K67" s="157">
        <f t="shared" si="18"/>
        <v>1</v>
      </c>
      <c r="L67" s="155">
        <f>SUM(L63:L66)</f>
        <v>3357519.34</v>
      </c>
      <c r="M67" s="48"/>
      <c r="N67" s="233">
        <f>SUM(L67-H67)</f>
        <v>270653.75</v>
      </c>
      <c r="O67" s="226"/>
      <c r="P67" s="236">
        <v>163104.70000000001</v>
      </c>
    </row>
    <row r="68" spans="1:16" x14ac:dyDescent="0.2">
      <c r="A68" s="46"/>
      <c r="C68" s="227"/>
      <c r="D68" s="34"/>
      <c r="E68" s="32"/>
      <c r="F68" s="35"/>
      <c r="G68" s="66"/>
      <c r="H68" s="35"/>
      <c r="I68" s="47"/>
      <c r="J68" s="35"/>
      <c r="K68" s="66"/>
      <c r="L68" s="35"/>
      <c r="M68" s="48"/>
      <c r="N68" s="233"/>
      <c r="O68" s="226"/>
      <c r="P68" s="236"/>
    </row>
    <row r="69" spans="1:16" x14ac:dyDescent="0.2">
      <c r="A69" s="46" t="s">
        <v>31</v>
      </c>
      <c r="B69" s="26" t="s">
        <v>110</v>
      </c>
      <c r="D69" s="34">
        <v>45473</v>
      </c>
      <c r="F69" s="19">
        <v>1573550.73</v>
      </c>
      <c r="G69" s="67">
        <f t="shared" ref="G69:G70" si="19">H69/F69</f>
        <v>1</v>
      </c>
      <c r="H69" s="19">
        <f>SUM(F69)</f>
        <v>1573550.73</v>
      </c>
      <c r="I69" s="51" t="s">
        <v>59</v>
      </c>
      <c r="J69" s="19">
        <v>1692166.48</v>
      </c>
      <c r="K69" s="67">
        <f>L69/J69</f>
        <v>1</v>
      </c>
      <c r="L69" s="19">
        <f>SUM(J69)</f>
        <v>1692166.48</v>
      </c>
      <c r="M69" s="49"/>
      <c r="N69" s="233"/>
      <c r="O69" s="226"/>
      <c r="P69" s="236"/>
    </row>
    <row r="70" spans="1:16" x14ac:dyDescent="0.2">
      <c r="A70" s="46"/>
      <c r="F70" s="155">
        <f>SUM(F69)</f>
        <v>1573550.73</v>
      </c>
      <c r="G70" s="157">
        <f t="shared" si="19"/>
        <v>1</v>
      </c>
      <c r="H70" s="155">
        <f>SUM(H69)</f>
        <v>1573550.73</v>
      </c>
      <c r="I70" s="47"/>
      <c r="J70" s="155">
        <f>SUM(J69)</f>
        <v>1692166.48</v>
      </c>
      <c r="K70" s="157">
        <f>L70/J70</f>
        <v>1</v>
      </c>
      <c r="L70" s="155">
        <f>SUM(L69)</f>
        <v>1692166.48</v>
      </c>
      <c r="M70" s="48"/>
      <c r="N70" s="233">
        <f>SUM(L70-H70)</f>
        <v>118615.75</v>
      </c>
      <c r="O70" s="226"/>
      <c r="P70" s="236">
        <v>133906.17000000001</v>
      </c>
    </row>
    <row r="71" spans="1:16" x14ac:dyDescent="0.2">
      <c r="A71" s="46"/>
      <c r="C71" s="227"/>
      <c r="D71" s="34"/>
      <c r="E71" s="32"/>
      <c r="F71" s="35"/>
      <c r="G71" s="66"/>
      <c r="H71" s="35"/>
      <c r="I71" s="47"/>
      <c r="J71" s="35"/>
      <c r="K71" s="66"/>
      <c r="L71" s="35"/>
      <c r="M71" s="48"/>
      <c r="N71" s="233"/>
      <c r="O71" s="226"/>
      <c r="P71" s="236"/>
    </row>
    <row r="72" spans="1:16" x14ac:dyDescent="0.2">
      <c r="A72" s="46" t="s">
        <v>61</v>
      </c>
      <c r="B72" s="26" t="s">
        <v>110</v>
      </c>
      <c r="D72" s="34">
        <v>45473</v>
      </c>
      <c r="E72" s="30"/>
      <c r="F72" s="31">
        <v>1353862.23</v>
      </c>
      <c r="G72" s="67">
        <f>H72/F72</f>
        <v>1</v>
      </c>
      <c r="H72" s="19">
        <f>SUM(F72)</f>
        <v>1353862.23</v>
      </c>
      <c r="I72" s="51" t="s">
        <v>59</v>
      </c>
      <c r="J72" s="31">
        <v>2416351.2799999998</v>
      </c>
      <c r="K72" s="67">
        <f>L72/J72</f>
        <v>1</v>
      </c>
      <c r="L72" s="19">
        <f>SUM(J72)</f>
        <v>2416351.2799999998</v>
      </c>
      <c r="M72" s="51"/>
      <c r="N72" s="233"/>
      <c r="O72" s="226"/>
      <c r="P72" s="236"/>
    </row>
    <row r="73" spans="1:16" x14ac:dyDescent="0.2">
      <c r="A73" s="46"/>
      <c r="D73" s="34"/>
      <c r="E73" s="30"/>
      <c r="F73" s="158">
        <f>SUM(F72)</f>
        <v>1353862.23</v>
      </c>
      <c r="G73" s="157">
        <f>H73/F73</f>
        <v>1</v>
      </c>
      <c r="H73" s="158">
        <f>SUM(H72)</f>
        <v>1353862.23</v>
      </c>
      <c r="I73" s="47"/>
      <c r="J73" s="158">
        <f>SUM(J72)</f>
        <v>2416351.2799999998</v>
      </c>
      <c r="K73" s="157">
        <f>L73/J73</f>
        <v>1</v>
      </c>
      <c r="L73" s="158">
        <f>SUM(L72)</f>
        <v>2416351.2799999998</v>
      </c>
      <c r="M73" s="47"/>
      <c r="N73" s="233">
        <f>SUM(L73-H73)</f>
        <v>1062489.0499999998</v>
      </c>
      <c r="O73" s="226"/>
      <c r="P73" s="236">
        <v>2088829.8</v>
      </c>
    </row>
    <row r="74" spans="1:16" x14ac:dyDescent="0.2">
      <c r="A74" s="46"/>
      <c r="D74" s="34"/>
      <c r="E74" s="32"/>
      <c r="G74" s="67"/>
      <c r="I74" s="51"/>
      <c r="K74" s="67"/>
      <c r="M74" s="49"/>
      <c r="N74" s="233"/>
      <c r="O74" s="226"/>
      <c r="P74" s="236"/>
    </row>
    <row r="75" spans="1:16" x14ac:dyDescent="0.2">
      <c r="A75" s="46" t="s">
        <v>32</v>
      </c>
      <c r="B75" s="26" t="s">
        <v>110</v>
      </c>
      <c r="D75" s="34">
        <v>45473</v>
      </c>
      <c r="E75" s="32"/>
      <c r="F75" s="19">
        <v>180240.99</v>
      </c>
      <c r="G75" s="67">
        <f t="shared" ref="G75:G76" si="20">H75/F75</f>
        <v>1</v>
      </c>
      <c r="H75" s="19">
        <f>SUM(F75)</f>
        <v>180240.99</v>
      </c>
      <c r="I75" s="51" t="s">
        <v>59</v>
      </c>
      <c r="J75" s="19">
        <v>164847.14000000001</v>
      </c>
      <c r="K75" s="67">
        <f>L75/J75</f>
        <v>1</v>
      </c>
      <c r="L75" s="19">
        <f>SUM(J75)</f>
        <v>164847.14000000001</v>
      </c>
      <c r="M75" s="49"/>
      <c r="N75" s="233"/>
      <c r="O75" s="226"/>
      <c r="P75" s="236"/>
    </row>
    <row r="76" spans="1:16" x14ac:dyDescent="0.2">
      <c r="A76" s="46"/>
      <c r="B76" s="33"/>
      <c r="C76" s="208"/>
      <c r="D76" s="34"/>
      <c r="F76" s="155">
        <f>SUM(F75)</f>
        <v>180240.99</v>
      </c>
      <c r="G76" s="157">
        <f t="shared" si="20"/>
        <v>1</v>
      </c>
      <c r="H76" s="155">
        <f>SUM(H75)</f>
        <v>180240.99</v>
      </c>
      <c r="I76" s="47"/>
      <c r="J76" s="155">
        <f>SUM(J75)</f>
        <v>164847.14000000001</v>
      </c>
      <c r="K76" s="157">
        <f>L76/J76</f>
        <v>1</v>
      </c>
      <c r="L76" s="155">
        <f>SUM(L75)</f>
        <v>164847.14000000001</v>
      </c>
      <c r="M76" s="48"/>
      <c r="N76" s="233">
        <f>SUM(L76-H76)</f>
        <v>-15393.849999999977</v>
      </c>
      <c r="O76" s="226"/>
      <c r="P76" s="236">
        <v>-67129.41</v>
      </c>
    </row>
    <row r="77" spans="1:16" x14ac:dyDescent="0.2">
      <c r="A77" s="46"/>
      <c r="D77" s="34"/>
      <c r="E77" s="32"/>
      <c r="F77" s="35"/>
      <c r="G77" s="67"/>
      <c r="H77" s="35"/>
      <c r="I77" s="47"/>
      <c r="J77" s="35"/>
      <c r="K77" s="67"/>
      <c r="L77" s="35"/>
      <c r="M77" s="48"/>
      <c r="N77" s="233"/>
      <c r="O77" s="226"/>
      <c r="P77" s="236"/>
    </row>
    <row r="78" spans="1:16" x14ac:dyDescent="0.2">
      <c r="A78" s="46" t="s">
        <v>14</v>
      </c>
      <c r="B78" s="26" t="s">
        <v>110</v>
      </c>
      <c r="C78" s="29"/>
      <c r="D78" s="34">
        <v>45473</v>
      </c>
      <c r="E78" s="32"/>
      <c r="F78" s="19">
        <v>3019351.48</v>
      </c>
      <c r="G78" s="67">
        <v>1</v>
      </c>
      <c r="H78" s="19">
        <f>SUM(F78)</f>
        <v>3019351.48</v>
      </c>
      <c r="I78" s="51" t="s">
        <v>59</v>
      </c>
      <c r="J78" s="19">
        <v>3295894.73</v>
      </c>
      <c r="K78" s="67">
        <v>1</v>
      </c>
      <c r="L78" s="19">
        <f>SUM(J78)</f>
        <v>3295894.73</v>
      </c>
      <c r="M78" s="49"/>
      <c r="N78" s="233"/>
      <c r="O78" s="226"/>
      <c r="P78" s="236"/>
    </row>
    <row r="79" spans="1:16" x14ac:dyDescent="0.2">
      <c r="A79" s="22"/>
      <c r="B79" s="33"/>
      <c r="C79" s="208"/>
      <c r="D79" s="34"/>
      <c r="E79"/>
      <c r="F79" s="155">
        <f>SUM(F78)</f>
        <v>3019351.48</v>
      </c>
      <c r="G79" s="157">
        <v>1</v>
      </c>
      <c r="H79" s="155">
        <f>SUM(H78)</f>
        <v>3019351.48</v>
      </c>
      <c r="I79" s="47"/>
      <c r="J79" s="155">
        <f>SUM(J78)</f>
        <v>3295894.73</v>
      </c>
      <c r="K79" s="157">
        <v>1</v>
      </c>
      <c r="L79" s="155">
        <f>SUM(L78)</f>
        <v>3295894.73</v>
      </c>
      <c r="M79" s="48"/>
      <c r="N79" s="233">
        <f>SUM(L79-H79)</f>
        <v>276543.25</v>
      </c>
      <c r="O79" s="226"/>
      <c r="P79" s="236">
        <v>295722.40999999997</v>
      </c>
    </row>
    <row r="80" spans="1:16" x14ac:dyDescent="0.2">
      <c r="A80" s="46"/>
      <c r="C80" s="227"/>
      <c r="D80" s="34"/>
      <c r="E80" s="32"/>
      <c r="F80" s="35"/>
      <c r="G80" s="66"/>
      <c r="H80" s="35"/>
      <c r="I80" s="47"/>
      <c r="J80" s="35"/>
      <c r="K80" s="66"/>
      <c r="L80" s="35"/>
      <c r="M80" s="48"/>
      <c r="N80" s="233"/>
      <c r="O80" s="226"/>
      <c r="P80" s="236"/>
    </row>
    <row r="81" spans="1:16" outlineLevel="1" x14ac:dyDescent="0.2">
      <c r="A81" s="46" t="s">
        <v>7</v>
      </c>
      <c r="B81" s="26" t="s">
        <v>110</v>
      </c>
      <c r="D81" s="34">
        <v>45473</v>
      </c>
      <c r="E81" s="32"/>
      <c r="F81" s="36">
        <v>55173.5</v>
      </c>
      <c r="G81" s="67">
        <f>H81/F81</f>
        <v>1</v>
      </c>
      <c r="H81" s="19">
        <f>SUM(F81)</f>
        <v>55173.5</v>
      </c>
      <c r="I81" s="51" t="s">
        <v>59</v>
      </c>
      <c r="J81" s="36">
        <v>193139.68</v>
      </c>
      <c r="K81" s="67">
        <f>L81/J81</f>
        <v>1</v>
      </c>
      <c r="L81" s="19">
        <f>SUM(J81)</f>
        <v>193139.68</v>
      </c>
      <c r="M81" s="50"/>
      <c r="N81" s="233"/>
      <c r="O81" s="226"/>
      <c r="P81" s="236"/>
    </row>
    <row r="82" spans="1:16" outlineLevel="1" x14ac:dyDescent="0.2">
      <c r="A82" s="46"/>
      <c r="B82" s="146" t="s">
        <v>120</v>
      </c>
      <c r="C82" s="229"/>
      <c r="D82" s="147">
        <v>45473</v>
      </c>
      <c r="E82" s="148"/>
      <c r="F82" s="149">
        <v>8350.16</v>
      </c>
      <c r="G82" s="154">
        <f>H82/F82</f>
        <v>1</v>
      </c>
      <c r="H82" s="151">
        <f>SUM(F82)</f>
        <v>8350.16</v>
      </c>
      <c r="I82" s="51" t="s">
        <v>59</v>
      </c>
      <c r="J82" s="149">
        <v>8517.6</v>
      </c>
      <c r="K82" s="154">
        <f>L82/J82</f>
        <v>1</v>
      </c>
      <c r="L82" s="151">
        <f>SUM(J82)</f>
        <v>8517.6</v>
      </c>
      <c r="M82" s="50"/>
      <c r="N82" s="233"/>
      <c r="O82" s="226"/>
      <c r="P82" s="236"/>
    </row>
    <row r="83" spans="1:16" outlineLevel="1" x14ac:dyDescent="0.2">
      <c r="A83" s="46"/>
      <c r="B83" s="26" t="s">
        <v>186</v>
      </c>
      <c r="D83" s="34">
        <v>45473</v>
      </c>
      <c r="E83" s="32"/>
      <c r="F83" s="36">
        <v>425175.64</v>
      </c>
      <c r="G83" s="67">
        <f t="shared" ref="G83:G84" si="21">H83/F83</f>
        <v>1</v>
      </c>
      <c r="H83" s="19">
        <f>SUM(F83)</f>
        <v>425175.64</v>
      </c>
      <c r="I83" s="51" t="s">
        <v>59</v>
      </c>
      <c r="J83" s="36">
        <v>430947.02</v>
      </c>
      <c r="K83" s="67">
        <f t="shared" ref="K83" si="22">L83/J83</f>
        <v>1</v>
      </c>
      <c r="L83" s="19">
        <f>SUM(J83)</f>
        <v>430947.02</v>
      </c>
      <c r="M83" s="50"/>
      <c r="N83" s="233"/>
      <c r="O83" s="226"/>
      <c r="P83" s="236"/>
    </row>
    <row r="84" spans="1:16" outlineLevel="1" x14ac:dyDescent="0.2">
      <c r="A84" s="46"/>
      <c r="B84" s="146" t="s">
        <v>164</v>
      </c>
      <c r="C84" s="229"/>
      <c r="D84" s="147">
        <v>45408</v>
      </c>
      <c r="E84" s="148"/>
      <c r="F84" s="149">
        <v>1500000</v>
      </c>
      <c r="G84" s="154">
        <f t="shared" si="21"/>
        <v>1</v>
      </c>
      <c r="H84" s="151">
        <f>SUM(F84)</f>
        <v>1500000</v>
      </c>
      <c r="I84" s="51" t="s">
        <v>59</v>
      </c>
      <c r="J84" s="149">
        <v>0</v>
      </c>
      <c r="K84" s="154">
        <v>0</v>
      </c>
      <c r="L84" s="151">
        <v>0</v>
      </c>
      <c r="M84" s="50"/>
      <c r="N84" s="233"/>
      <c r="O84" s="226"/>
      <c r="P84" s="236"/>
    </row>
    <row r="85" spans="1:16" outlineLevel="1" x14ac:dyDescent="0.2">
      <c r="A85" s="46"/>
      <c r="B85" s="26" t="s">
        <v>164</v>
      </c>
      <c r="D85" s="34">
        <v>45646</v>
      </c>
      <c r="E85" s="32"/>
      <c r="F85" s="36"/>
      <c r="G85" s="67"/>
      <c r="I85" s="51"/>
      <c r="J85" s="36">
        <v>1500000</v>
      </c>
      <c r="K85" s="67">
        <v>0</v>
      </c>
      <c r="L85" s="19">
        <v>1500000</v>
      </c>
      <c r="M85" s="50"/>
      <c r="N85" s="233"/>
      <c r="O85" s="226"/>
      <c r="P85" s="236"/>
    </row>
    <row r="86" spans="1:16" x14ac:dyDescent="0.2">
      <c r="A86" s="46"/>
      <c r="E86" s="32"/>
      <c r="F86" s="155">
        <f>SUM(F81:F85)</f>
        <v>1988699.3</v>
      </c>
      <c r="G86" s="157">
        <f>H86/F86</f>
        <v>1</v>
      </c>
      <c r="H86" s="155">
        <f>SUM(H81:H85)</f>
        <v>1988699.3</v>
      </c>
      <c r="I86" s="47"/>
      <c r="J86" s="155">
        <f>SUM(J81:J85)</f>
        <v>2132604.2999999998</v>
      </c>
      <c r="K86" s="157">
        <f>L86/J86</f>
        <v>1</v>
      </c>
      <c r="L86" s="155">
        <f>SUM(L81:L85)</f>
        <v>2132604.2999999998</v>
      </c>
      <c r="M86" s="48"/>
      <c r="N86" s="233">
        <f>SUM(L86-H86)</f>
        <v>143904.99999999977</v>
      </c>
      <c r="O86" s="226"/>
      <c r="P86" s="236">
        <v>64610.55</v>
      </c>
    </row>
    <row r="87" spans="1:16" x14ac:dyDescent="0.2">
      <c r="A87" s="46"/>
      <c r="D87" s="34"/>
      <c r="E87" s="32"/>
      <c r="G87" s="67"/>
      <c r="I87" s="51"/>
      <c r="K87" s="67"/>
      <c r="M87" s="49"/>
      <c r="N87" s="234"/>
      <c r="O87" s="226"/>
      <c r="P87" s="236"/>
    </row>
    <row r="88" spans="1:16" x14ac:dyDescent="0.2">
      <c r="A88" s="46" t="s">
        <v>15</v>
      </c>
      <c r="B88" s="26" t="s">
        <v>110</v>
      </c>
      <c r="D88" s="34">
        <v>45473</v>
      </c>
      <c r="E88" s="32"/>
      <c r="F88" s="19">
        <v>17672775.329999998</v>
      </c>
      <c r="G88" s="67">
        <f t="shared" ref="G88:G89" si="23">H88/F88</f>
        <v>1</v>
      </c>
      <c r="H88" s="19">
        <f>SUM(F88)</f>
        <v>17672775.329999998</v>
      </c>
      <c r="I88" s="51" t="s">
        <v>59</v>
      </c>
      <c r="J88" s="19">
        <v>14744533.609999999</v>
      </c>
      <c r="K88" s="67">
        <f>L88/J88</f>
        <v>1</v>
      </c>
      <c r="L88" s="19">
        <f>SUM(J88)</f>
        <v>14744533.609999999</v>
      </c>
      <c r="M88" s="49"/>
      <c r="N88" s="233"/>
      <c r="O88" s="226"/>
      <c r="P88" s="236"/>
    </row>
    <row r="89" spans="1:16" x14ac:dyDescent="0.2">
      <c r="D89" s="44"/>
      <c r="F89" s="155">
        <f>SUM(F88)</f>
        <v>17672775.329999998</v>
      </c>
      <c r="G89" s="157">
        <f t="shared" si="23"/>
        <v>1</v>
      </c>
      <c r="H89" s="155">
        <f>SUM(H88)</f>
        <v>17672775.329999998</v>
      </c>
      <c r="I89" s="47"/>
      <c r="J89" s="155">
        <f>SUM(J88)</f>
        <v>14744533.609999999</v>
      </c>
      <c r="K89" s="157">
        <f>L89/J89</f>
        <v>1</v>
      </c>
      <c r="L89" s="155">
        <f>SUM(L88)</f>
        <v>14744533.609999999</v>
      </c>
      <c r="M89" s="48"/>
      <c r="N89" s="233">
        <f>SUM(L89-H89)</f>
        <v>-2928241.7199999988</v>
      </c>
      <c r="O89" s="226"/>
      <c r="P89" s="236">
        <v>-2804260.14</v>
      </c>
    </row>
    <row r="90" spans="1:16" x14ac:dyDescent="0.2">
      <c r="A90" s="108" t="s">
        <v>125</v>
      </c>
      <c r="D90" s="34"/>
      <c r="G90" s="67"/>
      <c r="I90" s="51"/>
      <c r="K90" s="67"/>
      <c r="M90" s="49"/>
      <c r="N90" s="233"/>
      <c r="O90" s="226"/>
      <c r="P90" s="236"/>
    </row>
    <row r="91" spans="1:16" ht="13.5" thickBot="1" x14ac:dyDescent="0.25">
      <c r="A91" s="53" t="s">
        <v>62</v>
      </c>
      <c r="B91" s="56"/>
      <c r="C91" s="230"/>
      <c r="D91" s="55"/>
      <c r="E91" s="54"/>
      <c r="F91" s="78">
        <f>SUM(F89,F79,F61,F58,F76,F70,F55,F73,F67,F86,F52,F42,F46,F39,F35)</f>
        <v>110098321.16</v>
      </c>
      <c r="G91" s="80"/>
      <c r="H91" s="78">
        <f>SUM(H89,H79,H61,H58,H76,H70,H55,H73,H67,H86,H52,H42,H46,H39,H35)</f>
        <v>110031838.10000001</v>
      </c>
      <c r="I91" s="79"/>
      <c r="J91" s="78">
        <f>SUM(J89,J79,J61,J58,J76,J70,J55,J73,J67,J86,J52,J42,J46,J39,J35)</f>
        <v>96944119.500000015</v>
      </c>
      <c r="K91" s="80"/>
      <c r="L91" s="78">
        <f>SUM(L89,L79,L61,L58,L76,L70,L55,L73,L67,L86,L52,L42,L46,L39,L35)</f>
        <v>96896373.820000023</v>
      </c>
      <c r="M91" s="81"/>
      <c r="N91" s="235">
        <f t="shared" ref="N91" si="24">SUM(L91-H91)</f>
        <v>-13135464.279999986</v>
      </c>
      <c r="O91" s="226"/>
      <c r="P91" s="237">
        <f>SUM(P6:P90)</f>
        <v>-13371308.93</v>
      </c>
    </row>
    <row r="92" spans="1:16" ht="13.5" thickTop="1" x14ac:dyDescent="0.2"/>
  </sheetData>
  <sortState xmlns:xlrd2="http://schemas.microsoft.com/office/spreadsheetml/2017/richdata2" ref="K2">
    <sortCondition sortBy="cellColor" ref="K2"/>
  </sortState>
  <mergeCells count="1">
    <mergeCell ref="P1:P4"/>
  </mergeCells>
  <phoneticPr fontId="5" type="noConversion"/>
  <printOptions gridLines="1"/>
  <pageMargins left="0.5" right="0.5" top="0.3" bottom="0.3" header="0" footer="0.05"/>
  <pageSetup paperSize="5" scale="89" firstPageNumber="6" fitToHeight="0" orientation="landscape" useFirstPageNumber="1" r:id="rId1"/>
  <headerFooter alignWithMargins="0">
    <oddHeader>&amp;CMarket Value Comparison</oddHeader>
    <oddFooter>&amp;C&amp;P</oddFooter>
  </headerFooter>
  <ignoredErrors>
    <ignoredError sqref="G35 K35 G39:K40 G87:K87 G50:G51 I50:K51 G68:K68 G52:K53 G42:K43 G41:I41 K41 G46:K47 G45:I45 K45 G49:I49 K49 G55:K56 G54:I54 K54 G58:K59 G57:I57 K57 G61:K62 G60:I60 K60 G65:H65 G63:I63 K63 G64:I64 K64 G67 I67 K67 G70:K71 G69:I69 K69 G73:K74 G72:I72 K72 G76:K77 G75:I75 K75 G79:K80 G78:I78 K78 G84:H84 G81:I81 K81 G82:I82 K82 G83:I83 K83 G86 I86 K86 G89:K92 G88:I88 K8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</vt:lpstr>
      <vt:lpstr>Gov Code</vt:lpstr>
      <vt:lpstr>Recap Sheet</vt:lpstr>
      <vt:lpstr>Taylor County Security Holdings</vt:lpstr>
      <vt:lpstr>Market Comp</vt:lpstr>
      <vt:lpstr>Cover!Print_Area</vt:lpstr>
      <vt:lpstr>'Gov Code'!Print_Area</vt:lpstr>
      <vt:lpstr>'Market Comp'!Print_Area</vt:lpstr>
      <vt:lpstr>'Recap Sheet'!Print_Area</vt:lpstr>
      <vt:lpstr>'Taylor County Security Holdings'!Print_Area</vt:lpstr>
      <vt:lpstr>'Market Comp'!Print_Titles</vt:lpstr>
      <vt:lpstr>'Taylor County Security Holdings'!Print_Titles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Becky Freeman</cp:lastModifiedBy>
  <cp:lastPrinted>2024-08-02T21:13:16Z</cp:lastPrinted>
  <dcterms:created xsi:type="dcterms:W3CDTF">2010-07-30T14:08:17Z</dcterms:created>
  <dcterms:modified xsi:type="dcterms:W3CDTF">2024-08-02T21:13:19Z</dcterms:modified>
</cp:coreProperties>
</file>