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/>
  <mc:AlternateContent xmlns:mc="http://schemas.openxmlformats.org/markup-compatibility/2006">
    <mc:Choice Requires="x15">
      <x15ac:absPath xmlns:x15ac="http://schemas.microsoft.com/office/spreadsheetml/2010/11/ac" url="https://taylorcountytx-my.sharepoint.com/personal/becky_freeman_taylorcounty_texas_gov/Documents/Documents/Investment reports/Investment Reports/"/>
    </mc:Choice>
  </mc:AlternateContent>
  <xr:revisionPtr revIDLastSave="320" documentId="13_ncr:1_{95E32F02-1EF8-4605-AE73-97000924AA82}" xr6:coauthVersionLast="47" xr6:coauthVersionMax="47" xr10:uidLastSave="{5EA90846-3238-4818-AD72-ADF665C5C728}"/>
  <bookViews>
    <workbookView xWindow="390" yWindow="390" windowWidth="21945" windowHeight="11385" tabRatio="272" xr2:uid="{00000000-000D-0000-FFFF-FFFF00000000}"/>
  </bookViews>
  <sheets>
    <sheet name="Cover" sheetId="4" r:id="rId1"/>
    <sheet name="Gov Code" sheetId="5" r:id="rId2"/>
    <sheet name="Recap Sheet" sheetId="1" r:id="rId3"/>
    <sheet name="Taylor County Security Holdings" sheetId="2" r:id="rId4"/>
    <sheet name="Market Comp" sheetId="3" r:id="rId5"/>
  </sheets>
  <definedNames>
    <definedName name="_xlnm.Print_Area" localSheetId="0">Cover!$A$1:$L$38</definedName>
    <definedName name="_xlnm.Print_Area" localSheetId="1">'Gov Code'!$A$1:$P$32</definedName>
    <definedName name="_xlnm.Print_Area" localSheetId="4">'Market Comp'!$A$1:$P$87</definedName>
    <definedName name="_xlnm.Print_Area" localSheetId="2">'Recap Sheet'!$A$2:$L$43</definedName>
    <definedName name="_xlnm.Print_Area" localSheetId="3">'Taylor County Security Holdings'!$A$1:$N$135</definedName>
    <definedName name="_xlnm.Print_Titles" localSheetId="4">'Market Comp'!$1:$5</definedName>
    <definedName name="_xlnm.Print_Titles" localSheetId="3">'Taylor County Security Holdings'!$4:$6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9" i="2" l="1"/>
  <c r="D128" i="2"/>
  <c r="D127" i="2"/>
  <c r="D126" i="2"/>
  <c r="D125" i="2"/>
  <c r="D124" i="2"/>
  <c r="D123" i="2"/>
  <c r="D122" i="2"/>
  <c r="D121" i="2"/>
  <c r="D120" i="2"/>
  <c r="D119" i="2"/>
  <c r="D118" i="2"/>
  <c r="D117" i="2"/>
  <c r="D116" i="2"/>
  <c r="D115" i="2"/>
  <c r="D114" i="2"/>
  <c r="D113" i="2"/>
  <c r="D112" i="2"/>
  <c r="D111" i="2"/>
  <c r="D110" i="2"/>
  <c r="D109" i="2"/>
  <c r="D108" i="2"/>
  <c r="D107" i="2"/>
  <c r="D106" i="2"/>
  <c r="D105" i="2"/>
  <c r="D104" i="2"/>
  <c r="D103" i="2"/>
  <c r="D102" i="2"/>
  <c r="D130" i="2"/>
  <c r="D132" i="2"/>
  <c r="D131" i="2"/>
  <c r="D101" i="2"/>
  <c r="D99" i="2"/>
  <c r="H17" i="1"/>
  <c r="H16" i="1"/>
  <c r="H12" i="1"/>
  <c r="H11" i="1"/>
  <c r="J11" i="1"/>
  <c r="I11" i="1"/>
  <c r="K79" i="3"/>
  <c r="K60" i="3"/>
  <c r="L27" i="3"/>
  <c r="H27" i="3"/>
  <c r="G27" i="3" s="1"/>
  <c r="G28" i="3"/>
  <c r="K26" i="3"/>
  <c r="G26" i="3"/>
  <c r="H33" i="3"/>
  <c r="G33" i="3" s="1"/>
  <c r="G146" i="2"/>
  <c r="J118" i="2"/>
  <c r="J52" i="2"/>
  <c r="H100" i="2" l="1"/>
  <c r="K29" i="2"/>
  <c r="G30" i="2"/>
  <c r="K28" i="2"/>
  <c r="K27" i="2"/>
  <c r="K26" i="2"/>
  <c r="K24" i="2"/>
  <c r="K23" i="2"/>
  <c r="K22" i="2"/>
  <c r="K21" i="2"/>
  <c r="K20" i="2"/>
  <c r="K19" i="2"/>
  <c r="K18" i="2"/>
  <c r="K17" i="2"/>
  <c r="K16" i="2"/>
  <c r="K15" i="2"/>
  <c r="K25" i="2"/>
  <c r="K14" i="2"/>
  <c r="B22" i="2" l="1"/>
  <c r="I120" i="2" l="1"/>
  <c r="H120" i="2"/>
  <c r="R133" i="2"/>
  <c r="Q133" i="2"/>
  <c r="P133" i="2"/>
  <c r="O133" i="2"/>
  <c r="D11" i="1"/>
  <c r="C11" i="1"/>
  <c r="I106" i="2"/>
  <c r="H106" i="2"/>
  <c r="F34" i="3"/>
  <c r="J34" i="3"/>
  <c r="L33" i="3"/>
  <c r="K33" i="3" s="1"/>
  <c r="J29" i="3"/>
  <c r="F29" i="3"/>
  <c r="K20" i="3"/>
  <c r="F84" i="3"/>
  <c r="H83" i="3"/>
  <c r="H84" i="3" s="1"/>
  <c r="F81" i="3"/>
  <c r="H78" i="3"/>
  <c r="G78" i="3" s="1"/>
  <c r="H77" i="3"/>
  <c r="G77" i="3" s="1"/>
  <c r="H76" i="3"/>
  <c r="F74" i="3"/>
  <c r="H73" i="3"/>
  <c r="H74" i="3" s="1"/>
  <c r="F71" i="3"/>
  <c r="H70" i="3"/>
  <c r="H71" i="3" s="1"/>
  <c r="G71" i="3" s="1"/>
  <c r="F68" i="3"/>
  <c r="H67" i="3"/>
  <c r="H68" i="3" s="1"/>
  <c r="F65" i="3"/>
  <c r="H64" i="3"/>
  <c r="H65" i="3" s="1"/>
  <c r="F62" i="3"/>
  <c r="G61" i="3"/>
  <c r="H59" i="3"/>
  <c r="G59" i="3" s="1"/>
  <c r="H58" i="3"/>
  <c r="F56" i="3"/>
  <c r="H55" i="3"/>
  <c r="H56" i="3" s="1"/>
  <c r="F52" i="3"/>
  <c r="H51" i="3"/>
  <c r="H52" i="3" s="1"/>
  <c r="F48" i="3"/>
  <c r="H47" i="3"/>
  <c r="H48" i="3" s="1"/>
  <c r="F45" i="3"/>
  <c r="H44" i="3"/>
  <c r="H45" i="3" s="1"/>
  <c r="F41" i="3"/>
  <c r="H40" i="3"/>
  <c r="H41" i="3" s="1"/>
  <c r="F37" i="3"/>
  <c r="H36" i="3"/>
  <c r="H37" i="3" s="1"/>
  <c r="G37" i="3" s="1"/>
  <c r="G36" i="3"/>
  <c r="H32" i="3"/>
  <c r="H34" i="3" s="1"/>
  <c r="G25" i="3"/>
  <c r="G24" i="3"/>
  <c r="G23" i="3"/>
  <c r="G22" i="3"/>
  <c r="G21" i="3"/>
  <c r="G19" i="3"/>
  <c r="G18" i="3"/>
  <c r="G17" i="3"/>
  <c r="G16" i="3"/>
  <c r="G15" i="3"/>
  <c r="G14" i="3"/>
  <c r="H13" i="3"/>
  <c r="H11" i="3"/>
  <c r="G11" i="3" s="1"/>
  <c r="H10" i="3"/>
  <c r="G10" i="3" s="1"/>
  <c r="H9" i="3"/>
  <c r="G9" i="3" s="1"/>
  <c r="H8" i="3"/>
  <c r="G8" i="3" s="1"/>
  <c r="H7" i="3"/>
  <c r="G7" i="3" s="1"/>
  <c r="H6" i="3"/>
  <c r="G41" i="3" l="1"/>
  <c r="G40" i="3"/>
  <c r="G64" i="3"/>
  <c r="G55" i="3"/>
  <c r="G32" i="3"/>
  <c r="G56" i="3"/>
  <c r="H29" i="3"/>
  <c r="G29" i="3" s="1"/>
  <c r="G52" i="3"/>
  <c r="G34" i="3"/>
  <c r="G48" i="3"/>
  <c r="G51" i="3"/>
  <c r="G45" i="3"/>
  <c r="G65" i="3"/>
  <c r="H62" i="3"/>
  <c r="G62" i="3" s="1"/>
  <c r="G44" i="3"/>
  <c r="H81" i="3"/>
  <c r="G81" i="3" s="1"/>
  <c r="G47" i="3"/>
  <c r="G68" i="3"/>
  <c r="G58" i="3"/>
  <c r="G67" i="3"/>
  <c r="G84" i="3"/>
  <c r="G70" i="3"/>
  <c r="G6" i="3"/>
  <c r="G76" i="3"/>
  <c r="G83" i="3"/>
  <c r="K34" i="2" l="1"/>
  <c r="I34" i="2"/>
  <c r="H34" i="2"/>
  <c r="H13" i="2" l="1"/>
  <c r="H12" i="2"/>
  <c r="I12" i="2" s="1"/>
  <c r="I13" i="2" l="1"/>
  <c r="F15" i="1"/>
  <c r="P86" i="3"/>
  <c r="J81" i="3" l="1"/>
  <c r="J62" i="3"/>
  <c r="J37" i="3"/>
  <c r="L11" i="3"/>
  <c r="K11" i="3" s="1"/>
  <c r="L10" i="3"/>
  <c r="K10" i="3" s="1"/>
  <c r="K78" i="2" l="1"/>
  <c r="K57" i="2"/>
  <c r="Q135" i="2"/>
  <c r="K11" i="2" l="1"/>
  <c r="H11" i="2"/>
  <c r="I11" i="2" s="1"/>
  <c r="K12" i="2"/>
  <c r="K13" i="2"/>
  <c r="P135" i="2"/>
  <c r="E27" i="1" l="1"/>
  <c r="F25" i="1"/>
  <c r="G25" i="1" s="1"/>
  <c r="F24" i="1"/>
  <c r="G24" i="1" s="1"/>
  <c r="F23" i="1"/>
  <c r="G23" i="1" s="1"/>
  <c r="F22" i="1"/>
  <c r="G22" i="1" s="1"/>
  <c r="F21" i="1"/>
  <c r="G21" i="1" s="1"/>
  <c r="F20" i="1"/>
  <c r="G20" i="1" s="1"/>
  <c r="F19" i="1"/>
  <c r="G19" i="1" s="1"/>
  <c r="F18" i="1"/>
  <c r="G18" i="1" s="1"/>
  <c r="F17" i="1"/>
  <c r="G17" i="1" s="1"/>
  <c r="F16" i="1"/>
  <c r="G16" i="1" s="1"/>
  <c r="F14" i="1"/>
  <c r="F13" i="1"/>
  <c r="G13" i="1" s="1"/>
  <c r="F12" i="1"/>
  <c r="D27" i="1"/>
  <c r="C27" i="1"/>
  <c r="B27" i="1"/>
  <c r="J45" i="3"/>
  <c r="K25" i="3"/>
  <c r="K22" i="3"/>
  <c r="K15" i="3"/>
  <c r="K14" i="3"/>
  <c r="L12" i="3"/>
  <c r="K12" i="3" s="1"/>
  <c r="I123" i="2"/>
  <c r="H123" i="2"/>
  <c r="I124" i="2"/>
  <c r="H124" i="2"/>
  <c r="H99" i="2"/>
  <c r="F99" i="2"/>
  <c r="F113" i="2" s="1"/>
  <c r="F67" i="2"/>
  <c r="F61" i="2"/>
  <c r="F46" i="2"/>
  <c r="F64" i="2"/>
  <c r="F43" i="2"/>
  <c r="F37" i="2"/>
  <c r="F40" i="2"/>
  <c r="F74" i="2"/>
  <c r="F75" i="2"/>
  <c r="F76" i="2"/>
  <c r="F56" i="2"/>
  <c r="F55" i="2"/>
  <c r="F49" i="2"/>
  <c r="F71" i="2"/>
  <c r="F52" i="2"/>
  <c r="F33" i="2"/>
  <c r="F11" i="1" l="1"/>
  <c r="F115" i="2"/>
  <c r="F116" i="2"/>
  <c r="F117" i="2"/>
  <c r="F118" i="2"/>
  <c r="F100" i="2"/>
  <c r="F130" i="2"/>
  <c r="F119" i="2"/>
  <c r="F121" i="2"/>
  <c r="F124" i="2"/>
  <c r="F125" i="2"/>
  <c r="F126" i="2"/>
  <c r="F127" i="2"/>
  <c r="F128" i="2"/>
  <c r="F129" i="2"/>
  <c r="F114" i="2"/>
  <c r="F122" i="2"/>
  <c r="F123" i="2"/>
  <c r="F131" i="2"/>
  <c r="F132" i="2"/>
  <c r="F101" i="2"/>
  <c r="F102" i="2"/>
  <c r="F103" i="2"/>
  <c r="F104" i="2"/>
  <c r="F105" i="2"/>
  <c r="F106" i="2"/>
  <c r="F107" i="2"/>
  <c r="F108" i="2"/>
  <c r="F109" i="2"/>
  <c r="F110" i="2"/>
  <c r="F111" i="2"/>
  <c r="F120" i="2" s="1"/>
  <c r="F112" i="2"/>
  <c r="F27" i="1" l="1"/>
  <c r="G11" i="1"/>
  <c r="H10" i="2"/>
  <c r="I10" i="2" s="1"/>
  <c r="H9" i="2"/>
  <c r="I9" i="2" s="1"/>
  <c r="H8" i="2"/>
  <c r="I8" i="2" s="1"/>
  <c r="H7" i="2"/>
  <c r="L83" i="3"/>
  <c r="L73" i="3"/>
  <c r="L55" i="3"/>
  <c r="L51" i="3"/>
  <c r="L70" i="3"/>
  <c r="L64" i="3"/>
  <c r="L47" i="3"/>
  <c r="L67" i="3"/>
  <c r="L59" i="3"/>
  <c r="L58" i="3"/>
  <c r="L78" i="3"/>
  <c r="L77" i="3"/>
  <c r="L76" i="3"/>
  <c r="L44" i="3"/>
  <c r="L45" i="3" s="1"/>
  <c r="L36" i="3"/>
  <c r="L40" i="3"/>
  <c r="L32" i="3"/>
  <c r="L34" i="3" s="1"/>
  <c r="L13" i="3"/>
  <c r="L9" i="3"/>
  <c r="L8" i="3"/>
  <c r="L7" i="3"/>
  <c r="L6" i="3"/>
  <c r="H86" i="3"/>
  <c r="F86" i="3"/>
  <c r="J98" i="2"/>
  <c r="G98" i="2"/>
  <c r="J133" i="2"/>
  <c r="I132" i="2"/>
  <c r="I131" i="2"/>
  <c r="I130" i="2"/>
  <c r="I129" i="2"/>
  <c r="I128" i="2"/>
  <c r="I127" i="2"/>
  <c r="I126" i="2"/>
  <c r="I125" i="2"/>
  <c r="I122" i="2"/>
  <c r="I121" i="2"/>
  <c r="I119" i="2"/>
  <c r="I118" i="2"/>
  <c r="I117" i="2"/>
  <c r="I116" i="2"/>
  <c r="I115" i="2"/>
  <c r="I114" i="2"/>
  <c r="I113" i="2"/>
  <c r="I112" i="2"/>
  <c r="I111" i="2"/>
  <c r="I110" i="2"/>
  <c r="I108" i="2"/>
  <c r="I107" i="2"/>
  <c r="I105" i="2"/>
  <c r="I104" i="2"/>
  <c r="I103" i="2"/>
  <c r="I102" i="2"/>
  <c r="I101" i="2"/>
  <c r="I100" i="2"/>
  <c r="I99" i="2"/>
  <c r="I52" i="2"/>
  <c r="I71" i="2"/>
  <c r="I49" i="2"/>
  <c r="I67" i="2"/>
  <c r="I61" i="2"/>
  <c r="I46" i="2"/>
  <c r="I64" i="2"/>
  <c r="I56" i="2"/>
  <c r="I55" i="2"/>
  <c r="I75" i="2"/>
  <c r="I76" i="2"/>
  <c r="I74" i="2"/>
  <c r="I43" i="2"/>
  <c r="I37" i="2"/>
  <c r="I40" i="2"/>
  <c r="H132" i="2"/>
  <c r="H131" i="2"/>
  <c r="H130" i="2"/>
  <c r="H129" i="2"/>
  <c r="H128" i="2"/>
  <c r="H127" i="2"/>
  <c r="H126" i="2"/>
  <c r="H125" i="2"/>
  <c r="H122" i="2"/>
  <c r="H121" i="2"/>
  <c r="H119" i="2"/>
  <c r="H118" i="2"/>
  <c r="H117" i="2"/>
  <c r="H116" i="2"/>
  <c r="H115" i="2"/>
  <c r="H114" i="2"/>
  <c r="H113" i="2"/>
  <c r="H112" i="2"/>
  <c r="H111" i="2"/>
  <c r="H110" i="2"/>
  <c r="H108" i="2"/>
  <c r="H107" i="2"/>
  <c r="H105" i="2"/>
  <c r="H104" i="2"/>
  <c r="H103" i="2"/>
  <c r="H102" i="2"/>
  <c r="H101" i="2"/>
  <c r="H52" i="2"/>
  <c r="H71" i="2"/>
  <c r="H49" i="2"/>
  <c r="H67" i="2"/>
  <c r="H61" i="2"/>
  <c r="H46" i="2"/>
  <c r="H64" i="2"/>
  <c r="H56" i="2"/>
  <c r="H55" i="2"/>
  <c r="H76" i="2"/>
  <c r="H75" i="2"/>
  <c r="H74" i="2"/>
  <c r="H43" i="2"/>
  <c r="H37" i="2"/>
  <c r="H40" i="2"/>
  <c r="I33" i="2"/>
  <c r="H33" i="2"/>
  <c r="D100" i="2"/>
  <c r="D52" i="2"/>
  <c r="D71" i="2"/>
  <c r="D49" i="2"/>
  <c r="D67" i="2"/>
  <c r="D61" i="2"/>
  <c r="D46" i="2"/>
  <c r="D64" i="2"/>
  <c r="D55" i="2"/>
  <c r="D74" i="2"/>
  <c r="D43" i="2"/>
  <c r="D37" i="2"/>
  <c r="D40" i="2"/>
  <c r="D33" i="2"/>
  <c r="I7" i="2" l="1"/>
  <c r="I30" i="2" s="1"/>
  <c r="H30" i="2"/>
  <c r="O135" i="2"/>
  <c r="L29" i="3"/>
  <c r="L81" i="3"/>
  <c r="L62" i="3"/>
  <c r="H98" i="2"/>
  <c r="I98" i="2"/>
  <c r="I133" i="2"/>
  <c r="K8" i="2"/>
  <c r="K9" i="2"/>
  <c r="K10" i="2"/>
  <c r="I135" i="2" l="1"/>
  <c r="K98" i="2" l="1"/>
  <c r="L37" i="3" l="1"/>
  <c r="L41" i="3"/>
  <c r="N41" i="3" s="1"/>
  <c r="N34" i="3"/>
  <c r="J41" i="3"/>
  <c r="L68" i="3"/>
  <c r="J68" i="3"/>
  <c r="L84" i="3"/>
  <c r="L86" i="3" s="1"/>
  <c r="L74" i="3"/>
  <c r="L56" i="3"/>
  <c r="L52" i="3"/>
  <c r="L71" i="3"/>
  <c r="L65" i="3"/>
  <c r="L48" i="3"/>
  <c r="J48" i="3"/>
  <c r="J65" i="3"/>
  <c r="J71" i="3"/>
  <c r="J52" i="3"/>
  <c r="J56" i="3"/>
  <c r="J74" i="3"/>
  <c r="J84" i="3"/>
  <c r="K24" i="3"/>
  <c r="K23" i="3"/>
  <c r="K21" i="3"/>
  <c r="K45" i="3" l="1"/>
  <c r="H133" i="2" l="1"/>
  <c r="H135" i="2" s="1"/>
  <c r="G133" i="2"/>
  <c r="G135" i="2" s="1"/>
  <c r="K78" i="3" l="1"/>
  <c r="J86" i="3"/>
  <c r="K77" i="2" l="1"/>
  <c r="K114" i="2"/>
  <c r="K116" i="2"/>
  <c r="K117" i="2"/>
  <c r="K118" i="2"/>
  <c r="K119" i="2"/>
  <c r="K49" i="2"/>
  <c r="K71" i="2"/>
  <c r="K52" i="2"/>
  <c r="K40" i="2"/>
  <c r="K37" i="2"/>
  <c r="K43" i="2"/>
  <c r="K74" i="2"/>
  <c r="K75" i="2"/>
  <c r="K76" i="2"/>
  <c r="K55" i="2"/>
  <c r="K56" i="2"/>
  <c r="K58" i="2"/>
  <c r="K64" i="2"/>
  <c r="K46" i="2"/>
  <c r="K33" i="2"/>
  <c r="K55" i="3" l="1"/>
  <c r="K56" i="3"/>
  <c r="N74" i="3"/>
  <c r="K83" i="3"/>
  <c r="K84" i="3"/>
  <c r="N86" i="3"/>
  <c r="K48" i="3"/>
  <c r="K19" i="3"/>
  <c r="K18" i="3"/>
  <c r="K17" i="3"/>
  <c r="K16" i="3"/>
  <c r="K41" i="3" l="1"/>
  <c r="N56" i="3"/>
  <c r="K62" i="3"/>
  <c r="N84" i="3"/>
  <c r="K37" i="3"/>
  <c r="K68" i="3"/>
  <c r="K65" i="3"/>
  <c r="K29" i="3"/>
  <c r="K71" i="3"/>
  <c r="K52" i="3"/>
  <c r="K81" i="3"/>
  <c r="K133" i="2"/>
  <c r="H27" i="1" l="1"/>
  <c r="I27" i="1"/>
  <c r="J27" i="1"/>
  <c r="K27" i="1"/>
  <c r="L16" i="1"/>
  <c r="L15" i="1"/>
  <c r="B25" i="2" l="1"/>
  <c r="K113" i="2"/>
  <c r="L17" i="1" l="1"/>
  <c r="K59" i="3" l="1"/>
  <c r="K77" i="3"/>
  <c r="K100" i="2" l="1"/>
  <c r="K102" i="2"/>
  <c r="K103" i="2"/>
  <c r="K121" i="2"/>
  <c r="K122" i="2"/>
  <c r="K126" i="2"/>
  <c r="K128" i="2"/>
  <c r="K129" i="2"/>
  <c r="K131" i="2"/>
  <c r="K132" i="2"/>
  <c r="K99" i="2"/>
  <c r="K67" i="2"/>
  <c r="L12" i="1" l="1"/>
  <c r="K32" i="3"/>
  <c r="K34" i="3" l="1"/>
  <c r="L13" i="1" l="1"/>
  <c r="L14" i="1"/>
  <c r="L18" i="1"/>
  <c r="L19" i="1"/>
  <c r="L20" i="1"/>
  <c r="L21" i="1"/>
  <c r="L22" i="1"/>
  <c r="L23" i="1"/>
  <c r="L24" i="1"/>
  <c r="L25" i="1"/>
  <c r="L11" i="1"/>
  <c r="K7" i="3"/>
  <c r="K8" i="3"/>
  <c r="K9" i="3"/>
  <c r="L27" i="1" l="1"/>
  <c r="G26" i="1"/>
  <c r="K40" i="3" l="1"/>
  <c r="K36" i="3"/>
  <c r="K44" i="3"/>
  <c r="K58" i="3" l="1"/>
  <c r="N45" i="3" l="1"/>
  <c r="K76" i="3" l="1"/>
  <c r="K67" i="3"/>
  <c r="K47" i="3"/>
  <c r="K64" i="3"/>
  <c r="K70" i="3"/>
  <c r="K51" i="3"/>
  <c r="K6" i="3"/>
  <c r="N29" i="3" l="1"/>
  <c r="B27" i="2"/>
  <c r="J7" i="2" l="1"/>
  <c r="R135" i="2"/>
  <c r="N81" i="3"/>
  <c r="N37" i="3"/>
  <c r="K7" i="2" l="1"/>
  <c r="K30" i="2" s="1"/>
  <c r="J30" i="2"/>
  <c r="J135" i="2" s="1"/>
  <c r="N68" i="3"/>
  <c r="N48" i="3"/>
  <c r="N71" i="3"/>
  <c r="N52" i="3"/>
  <c r="K135" i="2" l="1"/>
  <c r="N65" i="3"/>
  <c r="N62" i="3"/>
  <c r="G27" i="1"/>
  <c r="I29" i="1"/>
  <c r="J29" i="1"/>
  <c r="K29" i="1"/>
  <c r="H29" i="1"/>
  <c r="L29" i="1" l="1"/>
</calcChain>
</file>

<file path=xl/sharedStrings.xml><?xml version="1.0" encoding="utf-8"?>
<sst xmlns="http://schemas.openxmlformats.org/spreadsheetml/2006/main" count="504" uniqueCount="208">
  <si>
    <t xml:space="preserve"> </t>
  </si>
  <si>
    <t>Certificates of</t>
  </si>
  <si>
    <t>Deposit</t>
  </si>
  <si>
    <t>Comm. Paper</t>
  </si>
  <si>
    <t>Totals</t>
  </si>
  <si>
    <t>General Fund</t>
  </si>
  <si>
    <t>Contingency Fund</t>
  </si>
  <si>
    <t>Tobacco Settlement</t>
  </si>
  <si>
    <t>Microfilm Restricted</t>
  </si>
  <si>
    <t>Road &amp; Bridge</t>
  </si>
  <si>
    <t>DA Special</t>
  </si>
  <si>
    <t>Self Insurance</t>
  </si>
  <si>
    <t>Employee Benefit</t>
  </si>
  <si>
    <t>Sinking Funds</t>
  </si>
  <si>
    <t>All Other Funds</t>
  </si>
  <si>
    <t>Net Change</t>
  </si>
  <si>
    <t xml:space="preserve">     Fund</t>
  </si>
  <si>
    <t xml:space="preserve">       Security</t>
  </si>
  <si>
    <t>Security</t>
  </si>
  <si>
    <t xml:space="preserve">   Maturity</t>
  </si>
  <si>
    <t xml:space="preserve">Book     </t>
  </si>
  <si>
    <t xml:space="preserve">Market   </t>
  </si>
  <si>
    <t>Accrued</t>
  </si>
  <si>
    <t xml:space="preserve">      Description</t>
  </si>
  <si>
    <t xml:space="preserve">  Cusip</t>
  </si>
  <si>
    <t xml:space="preserve">Date   </t>
  </si>
  <si>
    <t>Interest</t>
  </si>
  <si>
    <t>General</t>
  </si>
  <si>
    <t xml:space="preserve">Self Insurance </t>
  </si>
  <si>
    <t xml:space="preserve">Employee Benefit </t>
  </si>
  <si>
    <t xml:space="preserve">  </t>
  </si>
  <si>
    <t xml:space="preserve">  Commissioner CT Spec</t>
  </si>
  <si>
    <t xml:space="preserve">  DA Seizure</t>
  </si>
  <si>
    <t xml:space="preserve">  Taylor Co Elections</t>
  </si>
  <si>
    <t xml:space="preserve">  Jail Commissary</t>
  </si>
  <si>
    <t xml:space="preserve">  Juvenile Jury</t>
  </si>
  <si>
    <t xml:space="preserve">  Lateral Road</t>
  </si>
  <si>
    <t xml:space="preserve">  Payroll Clearing</t>
  </si>
  <si>
    <t xml:space="preserve">  State  &amp; Judicial Fees</t>
  </si>
  <si>
    <t>Task Force-Justice &amp; Treasury Funds</t>
  </si>
  <si>
    <t xml:space="preserve">  Tax Assessor</t>
  </si>
  <si>
    <t xml:space="preserve">  Unclaimed Property</t>
  </si>
  <si>
    <t xml:space="preserve">  VIT Escrow-Tax Assessor</t>
  </si>
  <si>
    <t>Fund</t>
  </si>
  <si>
    <t xml:space="preserve">  Maturity</t>
  </si>
  <si>
    <t xml:space="preserve">     Current Par/</t>
  </si>
  <si>
    <t xml:space="preserve">    Market</t>
  </si>
  <si>
    <t>Market Value</t>
  </si>
  <si>
    <t xml:space="preserve">    Date</t>
  </si>
  <si>
    <t xml:space="preserve">      # of Shares</t>
  </si>
  <si>
    <t xml:space="preserve">     Price</t>
  </si>
  <si>
    <t xml:space="preserve">      Market Value</t>
  </si>
  <si>
    <t>TexPool</t>
  </si>
  <si>
    <t>*</t>
  </si>
  <si>
    <t xml:space="preserve">Microfilm Restricted     </t>
  </si>
  <si>
    <t xml:space="preserve">Road &amp; Bridge             </t>
  </si>
  <si>
    <t>Total</t>
  </si>
  <si>
    <t>TAYLOR COUNTY</t>
  </si>
  <si>
    <t>Investment Portfolio Summary</t>
  </si>
  <si>
    <t>For the Quarter Ending</t>
  </si>
  <si>
    <t>The Public Funds Investment Act, Chapter 2256.023 of the Government Code, requires the investment</t>
  </si>
  <si>
    <t>officers of each local government to submit its governing body a quarterly report of investment transactions.</t>
  </si>
  <si>
    <t>sources we believe to be accurate and which represent our proprietary valuation.  Due to market</t>
  </si>
  <si>
    <t>fluctuation, these market levels may not necessarily be reflective of current liquidation values.</t>
  </si>
  <si>
    <t>reflective of current liquidation values.</t>
  </si>
  <si>
    <t>This portfolio is in compliance with Taylor County's Investment Policy and applicable laws.</t>
  </si>
  <si>
    <t>The information contained in this report should not be used for any purpose other than determining compliance with Act.</t>
  </si>
  <si>
    <t>Date Submitted</t>
  </si>
  <si>
    <t>Fiscal Yr.</t>
  </si>
  <si>
    <t>General Fund Total</t>
  </si>
  <si>
    <t>FFIN Operations Checks Fund</t>
  </si>
  <si>
    <t>Capital Construction</t>
  </si>
  <si>
    <t xml:space="preserve">The market values included in this report were obtained by First Financial Bank and The Federal Home Loan Bank, Dallas </t>
  </si>
  <si>
    <t>Date Approved by the Taylor County Investment Committee.</t>
  </si>
  <si>
    <t>_____________________________</t>
  </si>
  <si>
    <t>Date Received by Taylor County Commissioners' Court</t>
  </si>
  <si>
    <t xml:space="preserve">FFIN Operations Deposit </t>
  </si>
  <si>
    <t xml:space="preserve">       3 Agency</t>
  </si>
  <si>
    <t xml:space="preserve">       4 Commercial Paper</t>
  </si>
  <si>
    <t xml:space="preserve">    3. Agency</t>
  </si>
  <si>
    <t xml:space="preserve">    4 Commercial Paper</t>
  </si>
  <si>
    <t xml:space="preserve">     </t>
  </si>
  <si>
    <t>MARKET VALUE</t>
  </si>
  <si>
    <t xml:space="preserve">DA Forf </t>
  </si>
  <si>
    <t xml:space="preserve">Errors &amp; Omissions </t>
  </si>
  <si>
    <t xml:space="preserve">Sheriff-Bail Bond Voucher         </t>
  </si>
  <si>
    <t xml:space="preserve">FFIN Operations Deposit              </t>
  </si>
  <si>
    <t xml:space="preserve">Payroll Clearing                           </t>
  </si>
  <si>
    <t xml:space="preserve">State  &amp; Judicial Fees                 </t>
  </si>
  <si>
    <t xml:space="preserve">Unclaimed Property                    </t>
  </si>
  <si>
    <t xml:space="preserve">Total Intr. from other funds  </t>
  </si>
  <si>
    <t xml:space="preserve">           TOTAL                            </t>
  </si>
  <si>
    <r>
      <t xml:space="preserve">TexPool                 </t>
    </r>
    <r>
      <rPr>
        <sz val="7"/>
        <rFont val="Arial"/>
        <family val="2"/>
      </rPr>
      <t xml:space="preserve">     </t>
    </r>
  </si>
  <si>
    <r>
      <t xml:space="preserve">TexPool Prime        </t>
    </r>
    <r>
      <rPr>
        <sz val="7"/>
        <rFont val="Arial"/>
        <family val="2"/>
      </rPr>
      <t xml:space="preserve">     </t>
    </r>
  </si>
  <si>
    <t>TexPool Prime</t>
  </si>
  <si>
    <t xml:space="preserve">Intr. </t>
  </si>
  <si>
    <t>%</t>
  </si>
  <si>
    <t>TxPool/Prime</t>
  </si>
  <si>
    <t>Elijah Anderson, County Auditor</t>
  </si>
  <si>
    <t>FFIN</t>
  </si>
  <si>
    <t xml:space="preserve">FFIN                         </t>
  </si>
  <si>
    <t xml:space="preserve">    1. Liquid Cash</t>
  </si>
  <si>
    <t xml:space="preserve">       1. Liquid Cash</t>
  </si>
  <si>
    <t>1st Qtr</t>
  </si>
  <si>
    <t>Sheriff-Bail Bond Vouchers</t>
  </si>
  <si>
    <t>Courthouse Restoration</t>
  </si>
  <si>
    <t>FFIN Investments</t>
  </si>
  <si>
    <t>Local Provider Particpation Fund</t>
  </si>
  <si>
    <t>Texas Daily</t>
  </si>
  <si>
    <t>Elections Hava/Cares Subsidy</t>
  </si>
  <si>
    <t>Texas Term</t>
  </si>
  <si>
    <t>Jail Inmate Ckecking</t>
  </si>
  <si>
    <t xml:space="preserve">  Juvenile Probation Comm/TDA/State</t>
  </si>
  <si>
    <t>* Denotes Fund Balance Change</t>
  </si>
  <si>
    <t>American Rescue Plan Act</t>
  </si>
  <si>
    <t>Randall D. Williams Commissioner Pct 1</t>
  </si>
  <si>
    <t>Texas Range Daily</t>
  </si>
  <si>
    <t>US Treasury Note</t>
  </si>
  <si>
    <t>Ameriprise MMA Avg</t>
  </si>
  <si>
    <t>Ameriprise MMA</t>
  </si>
  <si>
    <t>Phil Crowley, Taylor County Judge</t>
  </si>
  <si>
    <t>Dept Deposit Co. Clerk</t>
  </si>
  <si>
    <t>Dept  Deposit Distr. Clerk</t>
  </si>
  <si>
    <t>Dept Deposit Constable</t>
  </si>
  <si>
    <t>Dept Deposit JP 1-2</t>
  </si>
  <si>
    <t>Dept Deposit  JP 1-1</t>
  </si>
  <si>
    <t>Dept Deposit SO - Civil</t>
  </si>
  <si>
    <t>Dept Deposit SO Criminal</t>
  </si>
  <si>
    <t>Dept Deposit Tax Assessor</t>
  </si>
  <si>
    <t>Jail Inmate Checking</t>
  </si>
  <si>
    <t>Jail Commissary Checking</t>
  </si>
  <si>
    <t>Interest To GF</t>
  </si>
  <si>
    <t>Interest to GF</t>
  </si>
  <si>
    <t>Wells Fargo</t>
  </si>
  <si>
    <t>949764AF1</t>
  </si>
  <si>
    <t>Discover Bank</t>
  </si>
  <si>
    <t>Pinnacle Nat'l Bank</t>
  </si>
  <si>
    <t>72345DLG4</t>
  </si>
  <si>
    <t>Georgia Banking Ctr</t>
  </si>
  <si>
    <t>37312PDE6</t>
  </si>
  <si>
    <t>Tex Range Daily</t>
  </si>
  <si>
    <t>Gerogia Bank Ctr</t>
  </si>
  <si>
    <t>Texas Range TERM</t>
  </si>
  <si>
    <t>Wells Fargo Sioux Falls</t>
  </si>
  <si>
    <t>Texas Range SELECT</t>
  </si>
  <si>
    <t>Tex Range TERM</t>
  </si>
  <si>
    <t xml:space="preserve">Bonds </t>
  </si>
  <si>
    <t>Tresury Bill/Notes</t>
  </si>
  <si>
    <t>Agency</t>
  </si>
  <si>
    <t>91282CFE6</t>
  </si>
  <si>
    <t>0257QCA3</t>
  </si>
  <si>
    <t>Sofia Bank UT</t>
  </si>
  <si>
    <t>83407DBF2</t>
  </si>
  <si>
    <t>Bankwell BK CT</t>
  </si>
  <si>
    <t>06654BFH9</t>
  </si>
  <si>
    <t>Dept Deposit Domestic Relations</t>
  </si>
  <si>
    <t>Amerant Bk Coral G</t>
  </si>
  <si>
    <t>Becky Freeman, Taylor County Treasurer</t>
  </si>
  <si>
    <t>912828YV6</t>
  </si>
  <si>
    <t>2nd Qtr</t>
  </si>
  <si>
    <t xml:space="preserve">3rd Qtr </t>
  </si>
  <si>
    <t xml:space="preserve">4th Qtr </t>
  </si>
  <si>
    <t>TOTAL OF ALL ACCOUNTS</t>
  </si>
  <si>
    <t>Morton Cmnty Bk ILL</t>
  </si>
  <si>
    <t>619165KG7</t>
  </si>
  <si>
    <t>Bank of America NA</t>
  </si>
  <si>
    <t>06051XAJ1</t>
  </si>
  <si>
    <t>919853KL4</t>
  </si>
  <si>
    <t>Valley Natl Bk Passaic NJ</t>
  </si>
  <si>
    <t>Flagstar Bk Natl Assn Hicksvl</t>
  </si>
  <si>
    <t>33847GDT6</t>
  </si>
  <si>
    <t>Morton Cmnty Bk Ill</t>
  </si>
  <si>
    <t>Valley Natl Bk Passaic</t>
  </si>
  <si>
    <t>Flagstar Bk Natl Assn</t>
  </si>
  <si>
    <t>Texas CLASS</t>
  </si>
  <si>
    <t>Tx Range Daily &amp; Select</t>
  </si>
  <si>
    <t xml:space="preserve">    2 .C.D.'s</t>
  </si>
  <si>
    <t xml:space="preserve">       2. C.D.'s</t>
  </si>
  <si>
    <t>GENERAL FUND</t>
  </si>
  <si>
    <t>Amerant BK Coral Gables</t>
  </si>
  <si>
    <t>Texas Range Select</t>
  </si>
  <si>
    <t>Par/Face Value</t>
  </si>
  <si>
    <t>Tot Int earned @ maturity of investment</t>
  </si>
  <si>
    <t>FFIN Oper Ck Fund</t>
  </si>
  <si>
    <t>Dept Deposit Tax Assr</t>
  </si>
  <si>
    <t>Tex Range Select</t>
  </si>
  <si>
    <t>Taylor County Security Holdings</t>
  </si>
  <si>
    <t>Texas FIT</t>
  </si>
  <si>
    <t xml:space="preserve">Restricted Funds </t>
  </si>
  <si>
    <t xml:space="preserve">Restricted Fees    </t>
  </si>
  <si>
    <t>FFCB</t>
  </si>
  <si>
    <t>3133ERG7</t>
  </si>
  <si>
    <t>Current Par/</t>
  </si>
  <si>
    <t xml:space="preserve"> # of Shares</t>
  </si>
  <si>
    <t xml:space="preserve">Restricted Fees </t>
  </si>
  <si>
    <t xml:space="preserve"> Comm Suprv &amp; Corrections Dept</t>
  </si>
  <si>
    <t>TEXAS FIT</t>
  </si>
  <si>
    <t>FY '25 1st Qtr</t>
  </si>
  <si>
    <t>TOTALS</t>
  </si>
  <si>
    <t xml:space="preserve"> Interest To GF </t>
  </si>
  <si>
    <t>Juvenile Justice Restitution</t>
  </si>
  <si>
    <t xml:space="preserve">  VIT Escrow - Interest</t>
  </si>
  <si>
    <t xml:space="preserve">  Sheriffs Forfeiture</t>
  </si>
  <si>
    <t>3133ERQZ7</t>
  </si>
  <si>
    <t xml:space="preserve">Total General Fund Balance / Interest         </t>
  </si>
  <si>
    <t xml:space="preserve">FFIN GF Interest                            </t>
  </si>
  <si>
    <t>Prior Year (Dec-23) Market Value Net Change</t>
  </si>
  <si>
    <t>(not in attendance)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</si>
</sst>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_);_(* \(#,##0.00\);_(* \-??_);_(@_)"/>
    <numFmt numFmtId="165" formatCode="_(\$* #,##0.00_);_(\$* \(#,##0.00\);_(\$* \-??_);_(@_)"/>
    <numFmt numFmtId="166" formatCode="mmm\-yy;@"/>
    <numFmt numFmtId="167" formatCode="mmmm\ d&quot;, &quot;yyyy"/>
    <numFmt numFmtId="168" formatCode="[$-409]mmm\-yy;@"/>
    <numFmt numFmtId="169" formatCode="0.000"/>
    <numFmt numFmtId="170" formatCode="&quot;$&quot;#,##0.00"/>
  </numFmts>
  <fonts count="25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.5"/>
      <name val="Arial"/>
      <family val="2"/>
    </font>
    <font>
      <sz val="7"/>
      <name val="Arial"/>
      <family val="2"/>
    </font>
    <font>
      <sz val="8"/>
      <name val="Arial"/>
      <family val="2"/>
    </font>
    <font>
      <b/>
      <sz val="7"/>
      <name val="Arial"/>
      <family val="2"/>
    </font>
    <font>
      <b/>
      <sz val="8.5"/>
      <name val="Arial"/>
      <family val="2"/>
    </font>
    <font>
      <b/>
      <sz val="12"/>
      <name val="Arial"/>
      <family val="2"/>
    </font>
    <font>
      <b/>
      <sz val="28"/>
      <name val="Arial"/>
      <family val="2"/>
    </font>
    <font>
      <sz val="14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sz val="15"/>
      <name val="Arial"/>
      <family val="2"/>
    </font>
    <font>
      <b/>
      <sz val="6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b/>
      <i/>
      <sz val="9"/>
      <name val="Arial"/>
      <family val="2"/>
    </font>
    <font>
      <i/>
      <sz val="8"/>
      <name val="Arial"/>
      <family val="2"/>
    </font>
    <font>
      <b/>
      <sz val="7.5"/>
      <name val="Arial"/>
      <family val="2"/>
    </font>
    <font>
      <i/>
      <sz val="10"/>
      <name val="Arial"/>
      <family val="2"/>
    </font>
    <font>
      <u/>
      <sz val="12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13"/>
        <bgColor indexed="34"/>
      </patternFill>
    </fill>
    <fill>
      <patternFill patternType="solid">
        <fgColor indexed="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0"/>
        <b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26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4" tint="0.7999816888943144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164" fontId="13" fillId="0" borderId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ill="0" applyBorder="0" applyAlignment="0" applyProtection="0"/>
    <xf numFmtId="44" fontId="13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305">
    <xf numFmtId="0" fontId="0" fillId="0" borderId="0" xfId="0"/>
    <xf numFmtId="4" fontId="0" fillId="0" borderId="0" xfId="0" applyNumberFormat="1"/>
    <xf numFmtId="4" fontId="0" fillId="0" borderId="0" xfId="0" applyNumberFormat="1" applyAlignment="1">
      <alignment horizontal="center"/>
    </xf>
    <xf numFmtId="164" fontId="0" fillId="0" borderId="0" xfId="1" applyFont="1" applyFill="1" applyBorder="1" applyAlignment="1" applyProtection="1"/>
    <xf numFmtId="0" fontId="0" fillId="2" borderId="0" xfId="0" applyFill="1"/>
    <xf numFmtId="4" fontId="0" fillId="2" borderId="0" xfId="0" applyNumberFormat="1" applyFill="1"/>
    <xf numFmtId="4" fontId="0" fillId="2" borderId="0" xfId="0" applyNumberFormat="1" applyFill="1" applyAlignment="1">
      <alignment horizontal="center"/>
    </xf>
    <xf numFmtId="164" fontId="0" fillId="2" borderId="0" xfId="1" applyFont="1" applyFill="1" applyBorder="1" applyAlignment="1" applyProtection="1"/>
    <xf numFmtId="17" fontId="0" fillId="0" borderId="0" xfId="1" applyNumberFormat="1" applyFont="1" applyFill="1" applyBorder="1" applyAlignment="1" applyProtection="1"/>
    <xf numFmtId="164" fontId="0" fillId="3" borderId="0" xfId="1" applyFont="1" applyFill="1" applyBorder="1" applyAlignment="1" applyProtection="1"/>
    <xf numFmtId="17" fontId="2" fillId="0" borderId="1" xfId="3" applyNumberFormat="1" applyFont="1" applyFill="1" applyBorder="1" applyAlignment="1" applyProtection="1">
      <alignment horizontal="center"/>
    </xf>
    <xf numFmtId="164" fontId="0" fillId="0" borderId="0" xfId="1" applyFont="1" applyFill="1" applyBorder="1" applyAlignment="1" applyProtection="1">
      <alignment horizontal="center"/>
    </xf>
    <xf numFmtId="164" fontId="0" fillId="0" borderId="1" xfId="1" applyFont="1" applyFill="1" applyBorder="1" applyAlignment="1" applyProtection="1">
      <alignment horizontal="center"/>
    </xf>
    <xf numFmtId="0" fontId="0" fillId="0" borderId="1" xfId="0" applyBorder="1"/>
    <xf numFmtId="0" fontId="0" fillId="0" borderId="2" xfId="0" applyBorder="1"/>
    <xf numFmtId="164" fontId="0" fillId="0" borderId="2" xfId="1" applyFont="1" applyFill="1" applyBorder="1" applyAlignment="1" applyProtection="1"/>
    <xf numFmtId="164" fontId="0" fillId="3" borderId="2" xfId="1" applyFont="1" applyFill="1" applyBorder="1" applyAlignment="1" applyProtection="1"/>
    <xf numFmtId="164" fontId="0" fillId="0" borderId="2" xfId="1" applyFont="1" applyFill="1" applyBorder="1" applyAlignment="1" applyProtection="1">
      <alignment horizontal="right"/>
    </xf>
    <xf numFmtId="164" fontId="0" fillId="0" borderId="2" xfId="3" applyNumberFormat="1" applyFont="1" applyFill="1" applyBorder="1" applyAlignment="1" applyProtection="1"/>
    <xf numFmtId="164" fontId="3" fillId="0" borderId="0" xfId="1" applyFont="1" applyFill="1" applyBorder="1" applyAlignment="1" applyProtection="1"/>
    <xf numFmtId="0" fontId="0" fillId="3" borderId="0" xfId="0" applyFill="1"/>
    <xf numFmtId="0" fontId="0" fillId="0" borderId="0" xfId="0" applyAlignment="1">
      <alignment horizontal="right"/>
    </xf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1" xfId="0" applyFont="1" applyBorder="1"/>
    <xf numFmtId="0" fontId="2" fillId="0" borderId="1" xfId="0" applyFont="1" applyBorder="1" applyAlignment="1">
      <alignment horizontal="right"/>
    </xf>
    <xf numFmtId="0" fontId="3" fillId="0" borderId="0" xfId="0" applyFont="1"/>
    <xf numFmtId="14" fontId="0" fillId="0" borderId="0" xfId="0" applyNumberFormat="1" applyAlignment="1">
      <alignment horizontal="right"/>
    </xf>
    <xf numFmtId="0" fontId="0" fillId="0" borderId="0" xfId="0" applyAlignment="1">
      <alignment horizontal="left"/>
    </xf>
    <xf numFmtId="0" fontId="3" fillId="0" borderId="0" xfId="0" applyFont="1" applyAlignment="1">
      <alignment horizontal="center"/>
    </xf>
    <xf numFmtId="14" fontId="3" fillId="0" borderId="0" xfId="0" applyNumberFormat="1" applyFont="1" applyAlignment="1">
      <alignment horizontal="right"/>
    </xf>
    <xf numFmtId="164" fontId="3" fillId="0" borderId="0" xfId="1" applyFont="1" applyFill="1" applyBorder="1" applyAlignment="1" applyProtection="1">
      <alignment horizontal="right"/>
    </xf>
    <xf numFmtId="0" fontId="8" fillId="0" borderId="0" xfId="0" applyFont="1" applyAlignment="1">
      <alignment horizontal="center"/>
    </xf>
    <xf numFmtId="0" fontId="11" fillId="0" borderId="0" xfId="0" applyFont="1"/>
    <xf numFmtId="0" fontId="11" fillId="0" borderId="1" xfId="0" applyFont="1" applyBorder="1"/>
    <xf numFmtId="0" fontId="12" fillId="0" borderId="0" xfId="0" applyFont="1"/>
    <xf numFmtId="0" fontId="14" fillId="0" borderId="0" xfId="0" applyFont="1" applyAlignment="1">
      <alignment horizontal="right"/>
    </xf>
    <xf numFmtId="14" fontId="2" fillId="0" borderId="0" xfId="0" applyNumberFormat="1" applyFont="1" applyAlignment="1">
      <alignment horizontal="right"/>
    </xf>
    <xf numFmtId="0" fontId="3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7" fillId="0" borderId="0" xfId="0" applyFont="1"/>
    <xf numFmtId="165" fontId="2" fillId="0" borderId="0" xfId="3" applyFont="1" applyBorder="1"/>
    <xf numFmtId="165" fontId="2" fillId="0" borderId="0" xfId="3" applyFont="1"/>
    <xf numFmtId="165" fontId="2" fillId="0" borderId="0" xfId="3" applyFont="1" applyAlignment="1">
      <alignment horizontal="right"/>
    </xf>
    <xf numFmtId="165" fontId="2" fillId="0" borderId="0" xfId="3" applyFont="1" applyFill="1"/>
    <xf numFmtId="164" fontId="0" fillId="0" borderId="5" xfId="1" applyFont="1" applyFill="1" applyBorder="1" applyAlignment="1" applyProtection="1"/>
    <xf numFmtId="0" fontId="15" fillId="2" borderId="0" xfId="0" applyFont="1" applyFill="1"/>
    <xf numFmtId="164" fontId="15" fillId="2" borderId="0" xfId="1" applyFont="1" applyFill="1" applyBorder="1" applyAlignment="1" applyProtection="1"/>
    <xf numFmtId="164" fontId="15" fillId="3" borderId="0" xfId="1" applyFont="1" applyFill="1" applyBorder="1" applyAlignment="1" applyProtection="1"/>
    <xf numFmtId="16" fontId="15" fillId="2" borderId="0" xfId="1" applyNumberFormat="1" applyFont="1" applyFill="1" applyBorder="1" applyAlignment="1" applyProtection="1">
      <alignment horizontal="center"/>
    </xf>
    <xf numFmtId="164" fontId="13" fillId="0" borderId="2" xfId="1" applyBorder="1"/>
    <xf numFmtId="164" fontId="0" fillId="0" borderId="2" xfId="0" applyNumberFormat="1" applyBorder="1"/>
    <xf numFmtId="164" fontId="4" fillId="0" borderId="0" xfId="1" applyFont="1" applyAlignment="1">
      <alignment horizontal="left"/>
    </xf>
    <xf numFmtId="164" fontId="4" fillId="0" borderId="0" xfId="1" applyFont="1" applyBorder="1" applyAlignment="1">
      <alignment horizontal="left"/>
    </xf>
    <xf numFmtId="164" fontId="2" fillId="0" borderId="0" xfId="1" applyFont="1" applyFill="1" applyBorder="1" applyAlignment="1" applyProtection="1"/>
    <xf numFmtId="164" fontId="6" fillId="0" borderId="0" xfId="1" applyFont="1" applyAlignment="1">
      <alignment horizontal="left"/>
    </xf>
    <xf numFmtId="0" fontId="2" fillId="8" borderId="0" xfId="0" applyFont="1" applyFill="1"/>
    <xf numFmtId="0" fontId="2" fillId="8" borderId="1" xfId="0" applyFont="1" applyFill="1" applyBorder="1"/>
    <xf numFmtId="0" fontId="0" fillId="8" borderId="0" xfId="0" applyFill="1"/>
    <xf numFmtId="165" fontId="2" fillId="0" borderId="4" xfId="3" applyFont="1" applyFill="1" applyBorder="1" applyAlignment="1" applyProtection="1">
      <alignment horizontal="right"/>
    </xf>
    <xf numFmtId="165" fontId="2" fillId="5" borderId="4" xfId="3" applyFont="1" applyFill="1" applyBorder="1" applyAlignment="1" applyProtection="1">
      <alignment horizontal="center"/>
    </xf>
    <xf numFmtId="165" fontId="2" fillId="5" borderId="4" xfId="3" applyFont="1" applyFill="1" applyBorder="1" applyAlignment="1" applyProtection="1">
      <alignment horizontal="right"/>
    </xf>
    <xf numFmtId="164" fontId="4" fillId="8" borderId="0" xfId="1" applyFont="1" applyFill="1" applyAlignment="1">
      <alignment horizontal="left"/>
    </xf>
    <xf numFmtId="164" fontId="13" fillId="0" borderId="0" xfId="1" applyFill="1" applyBorder="1" applyAlignment="1" applyProtection="1"/>
    <xf numFmtId="164" fontId="13" fillId="0" borderId="0" xfId="1" applyFill="1" applyBorder="1" applyAlignment="1" applyProtection="1">
      <alignment horizontal="right"/>
    </xf>
    <xf numFmtId="164" fontId="13" fillId="0" borderId="0" xfId="1" applyFill="1"/>
    <xf numFmtId="164" fontId="13" fillId="8" borderId="0" xfId="1" applyFill="1" applyBorder="1" applyAlignment="1" applyProtection="1"/>
    <xf numFmtId="164" fontId="13" fillId="8" borderId="0" xfId="1" applyFill="1" applyBorder="1" applyAlignment="1" applyProtection="1">
      <alignment horizontal="right"/>
    </xf>
    <xf numFmtId="164" fontId="13" fillId="0" borderId="3" xfId="1" applyFill="1" applyBorder="1" applyAlignment="1" applyProtection="1">
      <alignment horizontal="right"/>
    </xf>
    <xf numFmtId="164" fontId="13" fillId="0" borderId="0" xfId="1" applyFill="1" applyBorder="1" applyAlignment="1" applyProtection="1">
      <alignment horizontal="center"/>
    </xf>
    <xf numFmtId="164" fontId="13" fillId="8" borderId="0" xfId="1" applyFill="1" applyBorder="1" applyAlignment="1" applyProtection="1">
      <alignment horizontal="center"/>
    </xf>
    <xf numFmtId="164" fontId="0" fillId="0" borderId="0" xfId="1" applyFont="1" applyFill="1" applyBorder="1" applyAlignment="1" applyProtection="1">
      <alignment horizontal="right"/>
    </xf>
    <xf numFmtId="164" fontId="3" fillId="0" borderId="0" xfId="1" applyFont="1" applyAlignment="1">
      <alignment horizontal="left"/>
    </xf>
    <xf numFmtId="0" fontId="3" fillId="8" borderId="0" xfId="0" applyFont="1" applyFill="1" applyAlignment="1">
      <alignment horizontal="right"/>
    </xf>
    <xf numFmtId="0" fontId="7" fillId="2" borderId="0" xfId="0" applyFont="1" applyFill="1"/>
    <xf numFmtId="0" fontId="3" fillId="8" borderId="0" xfId="0" applyFont="1" applyFill="1" applyAlignment="1">
      <alignment horizontal="center"/>
    </xf>
    <xf numFmtId="164" fontId="3" fillId="4" borderId="0" xfId="1" applyFont="1" applyFill="1" applyBorder="1" applyAlignment="1" applyProtection="1"/>
    <xf numFmtId="0" fontId="3" fillId="8" borderId="0" xfId="0" applyFont="1" applyFill="1"/>
    <xf numFmtId="169" fontId="4" fillId="0" borderId="0" xfId="0" applyNumberFormat="1" applyFont="1" applyAlignment="1">
      <alignment horizontal="center"/>
    </xf>
    <xf numFmtId="164" fontId="4" fillId="0" borderId="0" xfId="1" applyFont="1" applyFill="1" applyAlignment="1">
      <alignment horizontal="left"/>
    </xf>
    <xf numFmtId="164" fontId="2" fillId="0" borderId="0" xfId="1" applyFont="1" applyFill="1" applyBorder="1" applyAlignment="1" applyProtection="1">
      <alignment horizontal="right"/>
    </xf>
    <xf numFmtId="0" fontId="0" fillId="0" borderId="11" xfId="0" applyBorder="1"/>
    <xf numFmtId="164" fontId="0" fillId="0" borderId="6" xfId="1" applyFont="1" applyFill="1" applyBorder="1" applyAlignment="1" applyProtection="1">
      <alignment horizontal="center"/>
    </xf>
    <xf numFmtId="164" fontId="3" fillId="0" borderId="0" xfId="1" applyFont="1" applyFill="1"/>
    <xf numFmtId="0" fontId="17" fillId="0" borderId="0" xfId="0" applyFont="1"/>
    <xf numFmtId="164" fontId="18" fillId="0" borderId="0" xfId="1" applyFont="1" applyBorder="1" applyAlignment="1">
      <alignment horizontal="left"/>
    </xf>
    <xf numFmtId="0" fontId="18" fillId="8" borderId="0" xfId="0" applyFont="1" applyFill="1"/>
    <xf numFmtId="169" fontId="18" fillId="0" borderId="0" xfId="0" applyNumberFormat="1" applyFont="1" applyAlignment="1">
      <alignment horizontal="center"/>
    </xf>
    <xf numFmtId="0" fontId="18" fillId="0" borderId="0" xfId="0" applyFont="1"/>
    <xf numFmtId="164" fontId="18" fillId="0" borderId="0" xfId="1" applyFont="1" applyFill="1" applyBorder="1" applyAlignment="1" applyProtection="1"/>
    <xf numFmtId="164" fontId="18" fillId="0" borderId="0" xfId="1" applyFont="1" applyFill="1" applyBorder="1" applyAlignment="1" applyProtection="1">
      <alignment horizontal="right"/>
    </xf>
    <xf numFmtId="164" fontId="2" fillId="0" borderId="8" xfId="1" applyFont="1" applyFill="1" applyBorder="1" applyAlignment="1" applyProtection="1"/>
    <xf numFmtId="164" fontId="2" fillId="0" borderId="8" xfId="1" applyFont="1" applyFill="1" applyBorder="1" applyAlignment="1" applyProtection="1">
      <alignment horizontal="right"/>
    </xf>
    <xf numFmtId="164" fontId="2" fillId="0" borderId="8" xfId="1" applyFont="1" applyFill="1" applyBorder="1" applyAlignment="1" applyProtection="1">
      <alignment horizontal="center"/>
    </xf>
    <xf numFmtId="164" fontId="13" fillId="7" borderId="0" xfId="1" applyFill="1" applyBorder="1" applyAlignment="1" applyProtection="1">
      <alignment horizontal="center"/>
    </xf>
    <xf numFmtId="164" fontId="3" fillId="8" borderId="0" xfId="1" applyFont="1" applyFill="1" applyBorder="1" applyAlignment="1" applyProtection="1"/>
    <xf numFmtId="0" fontId="16" fillId="0" borderId="0" xfId="0" applyFont="1"/>
    <xf numFmtId="164" fontId="13" fillId="7" borderId="0" xfId="1" applyFill="1" applyBorder="1" applyAlignment="1" applyProtection="1"/>
    <xf numFmtId="164" fontId="2" fillId="0" borderId="0" xfId="1" applyFont="1" applyAlignment="1">
      <alignment horizontal="left"/>
    </xf>
    <xf numFmtId="164" fontId="2" fillId="8" borderId="0" xfId="1" applyFont="1" applyFill="1" applyBorder="1" applyAlignment="1" applyProtection="1">
      <alignment horizontal="center"/>
    </xf>
    <xf numFmtId="169" fontId="0" fillId="0" borderId="0" xfId="0" applyNumberFormat="1" applyAlignment="1">
      <alignment horizontal="center"/>
    </xf>
    <xf numFmtId="164" fontId="2" fillId="0" borderId="0" xfId="1" applyFont="1" applyFill="1" applyBorder="1" applyAlignment="1" applyProtection="1">
      <alignment horizontal="center"/>
    </xf>
    <xf numFmtId="164" fontId="2" fillId="8" borderId="0" xfId="1" applyFont="1" applyFill="1" applyBorder="1" applyAlignment="1" applyProtection="1"/>
    <xf numFmtId="164" fontId="6" fillId="0" borderId="1" xfId="1" applyFont="1" applyBorder="1" applyAlignment="1">
      <alignment horizontal="left"/>
    </xf>
    <xf numFmtId="164" fontId="2" fillId="0" borderId="1" xfId="1" applyFont="1" applyFill="1" applyBorder="1" applyAlignment="1" applyProtection="1">
      <alignment horizontal="right"/>
    </xf>
    <xf numFmtId="164" fontId="2" fillId="0" borderId="1" xfId="1" applyFont="1" applyFill="1" applyBorder="1" applyAlignment="1" applyProtection="1">
      <alignment horizontal="center"/>
    </xf>
    <xf numFmtId="164" fontId="2" fillId="8" borderId="0" xfId="1" applyFont="1" applyFill="1" applyBorder="1" applyAlignment="1" applyProtection="1">
      <alignment horizontal="right"/>
    </xf>
    <xf numFmtId="164" fontId="2" fillId="8" borderId="1" xfId="1" applyFont="1" applyFill="1" applyBorder="1" applyAlignment="1" applyProtection="1">
      <alignment horizontal="right"/>
    </xf>
    <xf numFmtId="164" fontId="2" fillId="8" borderId="1" xfId="1" applyFont="1" applyFill="1" applyBorder="1" applyAlignment="1" applyProtection="1"/>
    <xf numFmtId="39" fontId="2" fillId="2" borderId="0" xfId="3" applyNumberFormat="1" applyFont="1" applyFill="1" applyBorder="1" applyAlignment="1" applyProtection="1">
      <alignment horizontal="center"/>
    </xf>
    <xf numFmtId="164" fontId="13" fillId="8" borderId="7" xfId="1" applyFill="1" applyBorder="1" applyAlignment="1" applyProtection="1">
      <alignment horizontal="center"/>
    </xf>
    <xf numFmtId="169" fontId="2" fillId="0" borderId="0" xfId="0" applyNumberFormat="1" applyFont="1" applyAlignment="1">
      <alignment horizontal="center"/>
    </xf>
    <xf numFmtId="169" fontId="2" fillId="0" borderId="1" xfId="0" applyNumberFormat="1" applyFont="1" applyBorder="1" applyAlignment="1">
      <alignment horizontal="center"/>
    </xf>
    <xf numFmtId="169" fontId="6" fillId="0" borderId="0" xfId="0" applyNumberFormat="1" applyFont="1" applyAlignment="1">
      <alignment horizontal="center"/>
    </xf>
    <xf numFmtId="169" fontId="3" fillId="0" borderId="0" xfId="0" applyNumberFormat="1" applyFont="1" applyAlignment="1">
      <alignment horizontal="center"/>
    </xf>
    <xf numFmtId="0" fontId="0" fillId="10" borderId="0" xfId="0" applyFill="1"/>
    <xf numFmtId="169" fontId="4" fillId="10" borderId="0" xfId="0" applyNumberFormat="1" applyFont="1" applyFill="1" applyAlignment="1">
      <alignment horizontal="center"/>
    </xf>
    <xf numFmtId="14" fontId="0" fillId="10" borderId="0" xfId="0" applyNumberFormat="1" applyFill="1" applyAlignment="1">
      <alignment horizontal="right"/>
    </xf>
    <xf numFmtId="164" fontId="13" fillId="10" borderId="0" xfId="1" applyFill="1" applyBorder="1" applyAlignment="1" applyProtection="1"/>
    <xf numFmtId="164" fontId="13" fillId="10" borderId="0" xfId="1" applyFill="1" applyBorder="1" applyAlignment="1" applyProtection="1">
      <alignment horizontal="center"/>
    </xf>
    <xf numFmtId="14" fontId="0" fillId="10" borderId="0" xfId="0" applyNumberFormat="1" applyFill="1"/>
    <xf numFmtId="164" fontId="13" fillId="10" borderId="0" xfId="1" applyFill="1" applyBorder="1" applyAlignment="1" applyProtection="1">
      <alignment horizontal="right"/>
    </xf>
    <xf numFmtId="0" fontId="0" fillId="10" borderId="0" xfId="0" applyFill="1" applyAlignment="1">
      <alignment horizontal="left"/>
    </xf>
    <xf numFmtId="0" fontId="0" fillId="12" borderId="0" xfId="0" applyFill="1"/>
    <xf numFmtId="169" fontId="4" fillId="12" borderId="0" xfId="0" applyNumberFormat="1" applyFont="1" applyFill="1" applyAlignment="1">
      <alignment horizontal="center"/>
    </xf>
    <xf numFmtId="14" fontId="0" fillId="12" borderId="0" xfId="0" applyNumberFormat="1" applyFill="1" applyAlignment="1">
      <alignment horizontal="right"/>
    </xf>
    <xf numFmtId="164" fontId="13" fillId="12" borderId="0" xfId="1" applyFill="1" applyBorder="1" applyAlignment="1" applyProtection="1">
      <alignment horizontal="right"/>
    </xf>
    <xf numFmtId="0" fontId="14" fillId="10" borderId="0" xfId="0" applyFont="1" applyFill="1" applyAlignment="1">
      <alignment horizontal="right"/>
    </xf>
    <xf numFmtId="164" fontId="13" fillId="10" borderId="0" xfId="1" applyFill="1"/>
    <xf numFmtId="164" fontId="0" fillId="10" borderId="0" xfId="1" applyFont="1" applyFill="1" applyBorder="1" applyAlignment="1" applyProtection="1">
      <alignment horizontal="right"/>
    </xf>
    <xf numFmtId="0" fontId="3" fillId="13" borderId="0" xfId="0" applyFont="1" applyFill="1" applyAlignment="1">
      <alignment horizontal="right"/>
    </xf>
    <xf numFmtId="169" fontId="4" fillId="13" borderId="0" xfId="0" applyNumberFormat="1" applyFont="1" applyFill="1" applyAlignment="1">
      <alignment horizontal="center"/>
    </xf>
    <xf numFmtId="14" fontId="0" fillId="13" borderId="0" xfId="0" applyNumberFormat="1" applyFill="1" applyAlignment="1">
      <alignment horizontal="right"/>
    </xf>
    <xf numFmtId="164" fontId="3" fillId="13" borderId="0" xfId="1" applyFont="1" applyFill="1" applyBorder="1" applyAlignment="1" applyProtection="1">
      <alignment horizontal="right"/>
    </xf>
    <xf numFmtId="164" fontId="13" fillId="13" borderId="0" xfId="1" applyFill="1" applyBorder="1" applyAlignment="1" applyProtection="1"/>
    <xf numFmtId="164" fontId="13" fillId="13" borderId="0" xfId="1" applyFill="1" applyBorder="1" applyAlignment="1" applyProtection="1">
      <alignment horizontal="center"/>
    </xf>
    <xf numFmtId="0" fontId="3" fillId="13" borderId="0" xfId="0" applyFont="1" applyFill="1" applyAlignment="1">
      <alignment horizontal="center"/>
    </xf>
    <xf numFmtId="164" fontId="3" fillId="13" borderId="0" xfId="1" applyFont="1" applyFill="1" applyBorder="1" applyAlignment="1" applyProtection="1"/>
    <xf numFmtId="164" fontId="4" fillId="13" borderId="0" xfId="1" applyFont="1" applyFill="1" applyAlignment="1">
      <alignment horizontal="left"/>
    </xf>
    <xf numFmtId="164" fontId="3" fillId="13" borderId="0" xfId="1" applyFont="1" applyFill="1" applyAlignment="1">
      <alignment horizontal="left"/>
    </xf>
    <xf numFmtId="0" fontId="0" fillId="10" borderId="2" xfId="0" applyFill="1" applyBorder="1"/>
    <xf numFmtId="164" fontId="0" fillId="10" borderId="5" xfId="1" applyFont="1" applyFill="1" applyBorder="1" applyAlignment="1" applyProtection="1"/>
    <xf numFmtId="164" fontId="13" fillId="10" borderId="2" xfId="1" applyFill="1" applyBorder="1"/>
    <xf numFmtId="164" fontId="0" fillId="10" borderId="2" xfId="1" applyFont="1" applyFill="1" applyBorder="1" applyAlignment="1" applyProtection="1"/>
    <xf numFmtId="164" fontId="0" fillId="10" borderId="2" xfId="0" applyNumberFormat="1" applyFill="1" applyBorder="1"/>
    <xf numFmtId="164" fontId="0" fillId="10" borderId="2" xfId="3" applyNumberFormat="1" applyFont="1" applyFill="1" applyBorder="1" applyAlignment="1" applyProtection="1"/>
    <xf numFmtId="164" fontId="2" fillId="0" borderId="2" xfId="1" applyFont="1" applyFill="1" applyBorder="1" applyAlignment="1" applyProtection="1"/>
    <xf numFmtId="164" fontId="2" fillId="0" borderId="2" xfId="0" applyNumberFormat="1" applyFont="1" applyBorder="1"/>
    <xf numFmtId="164" fontId="2" fillId="0" borderId="10" xfId="1" applyFont="1" applyFill="1" applyBorder="1" applyAlignment="1" applyProtection="1"/>
    <xf numFmtId="164" fontId="2" fillId="0" borderId="9" xfId="1" applyFont="1" applyFill="1" applyBorder="1" applyAlignment="1" applyProtection="1"/>
    <xf numFmtId="164" fontId="2" fillId="3" borderId="2" xfId="1" applyFont="1" applyFill="1" applyBorder="1" applyAlignment="1" applyProtection="1"/>
    <xf numFmtId="164" fontId="13" fillId="12" borderId="0" xfId="1" applyFill="1" applyBorder="1" applyAlignment="1" applyProtection="1">
      <alignment horizontal="center"/>
    </xf>
    <xf numFmtId="164" fontId="0" fillId="10" borderId="0" xfId="1" applyFont="1" applyFill="1" applyBorder="1" applyAlignment="1" applyProtection="1"/>
    <xf numFmtId="164" fontId="0" fillId="0" borderId="0" xfId="0" applyNumberFormat="1"/>
    <xf numFmtId="0" fontId="5" fillId="0" borderId="0" xfId="0" applyFont="1" applyAlignment="1">
      <alignment horizontal="center"/>
    </xf>
    <xf numFmtId="169" fontId="4" fillId="8" borderId="0" xfId="0" applyNumberFormat="1" applyFont="1" applyFill="1" applyAlignment="1">
      <alignment horizontal="center"/>
    </xf>
    <xf numFmtId="14" fontId="0" fillId="8" borderId="0" xfId="0" applyNumberFormat="1" applyFill="1"/>
    <xf numFmtId="164" fontId="0" fillId="8" borderId="0" xfId="1" applyFont="1" applyFill="1" applyBorder="1" applyAlignment="1" applyProtection="1"/>
    <xf numFmtId="14" fontId="0" fillId="8" borderId="0" xfId="0" applyNumberFormat="1" applyFill="1" applyAlignment="1">
      <alignment horizontal="right"/>
    </xf>
    <xf numFmtId="0" fontId="0" fillId="8" borderId="0" xfId="0" applyFill="1" applyAlignment="1">
      <alignment horizontal="left"/>
    </xf>
    <xf numFmtId="164" fontId="0" fillId="8" borderId="0" xfId="1" applyFont="1" applyFill="1" applyBorder="1" applyAlignment="1" applyProtection="1">
      <alignment horizontal="right"/>
    </xf>
    <xf numFmtId="0" fontId="14" fillId="8" borderId="0" xfId="0" applyFont="1" applyFill="1" applyAlignment="1">
      <alignment horizontal="right"/>
    </xf>
    <xf numFmtId="164" fontId="13" fillId="8" borderId="0" xfId="1" applyFill="1"/>
    <xf numFmtId="164" fontId="14" fillId="14" borderId="13" xfId="1" applyFont="1" applyFill="1" applyBorder="1" applyAlignment="1" applyProtection="1">
      <alignment horizontal="center" wrapText="1"/>
    </xf>
    <xf numFmtId="0" fontId="2" fillId="15" borderId="0" xfId="0" applyFont="1" applyFill="1" applyAlignment="1">
      <alignment horizontal="center"/>
    </xf>
    <xf numFmtId="165" fontId="2" fillId="0" borderId="0" xfId="3" applyFont="1" applyBorder="1" applyAlignment="1">
      <alignment horizontal="center"/>
    </xf>
    <xf numFmtId="39" fontId="0" fillId="2" borderId="0" xfId="3" applyNumberFormat="1" applyFont="1" applyFill="1" applyBorder="1" applyAlignment="1" applyProtection="1">
      <alignment horizontal="right"/>
    </xf>
    <xf numFmtId="39" fontId="2" fillId="2" borderId="4" xfId="3" applyNumberFormat="1" applyFont="1" applyFill="1" applyBorder="1" applyAlignment="1" applyProtection="1">
      <alignment horizontal="right"/>
    </xf>
    <xf numFmtId="0" fontId="2" fillId="15" borderId="17" xfId="0" applyFont="1" applyFill="1" applyBorder="1" applyAlignment="1">
      <alignment horizontal="center"/>
    </xf>
    <xf numFmtId="168" fontId="2" fillId="8" borderId="0" xfId="1" applyNumberFormat="1" applyFont="1" applyFill="1" applyBorder="1" applyAlignment="1" applyProtection="1">
      <alignment horizontal="center"/>
    </xf>
    <xf numFmtId="0" fontId="2" fillId="8" borderId="0" xfId="0" applyFont="1" applyFill="1" applyAlignment="1">
      <alignment horizontal="center"/>
    </xf>
    <xf numFmtId="170" fontId="2" fillId="15" borderId="17" xfId="0" applyNumberFormat="1" applyFont="1" applyFill="1" applyBorder="1" applyAlignment="1">
      <alignment horizontal="center"/>
    </xf>
    <xf numFmtId="164" fontId="19" fillId="14" borderId="14" xfId="1" applyFont="1" applyFill="1" applyBorder="1" applyAlignment="1" applyProtection="1">
      <alignment horizontal="center"/>
    </xf>
    <xf numFmtId="164" fontId="19" fillId="14" borderId="0" xfId="1" applyFont="1" applyFill="1" applyBorder="1" applyAlignment="1" applyProtection="1">
      <alignment horizontal="center"/>
    </xf>
    <xf numFmtId="164" fontId="19" fillId="14" borderId="15" xfId="1" applyFont="1" applyFill="1" applyBorder="1" applyAlignment="1" applyProtection="1">
      <alignment horizontal="center"/>
    </xf>
    <xf numFmtId="164" fontId="19" fillId="14" borderId="0" xfId="1" applyFont="1" applyFill="1" applyBorder="1" applyAlignment="1" applyProtection="1">
      <alignment horizontal="right"/>
    </xf>
    <xf numFmtId="164" fontId="19" fillId="8" borderId="0" xfId="1" applyFont="1" applyFill="1" applyBorder="1" applyAlignment="1" applyProtection="1">
      <alignment horizontal="center"/>
    </xf>
    <xf numFmtId="164" fontId="20" fillId="8" borderId="0" xfId="1" applyFont="1" applyFill="1" applyBorder="1" applyAlignment="1" applyProtection="1">
      <alignment horizontal="center"/>
    </xf>
    <xf numFmtId="167" fontId="0" fillId="8" borderId="0" xfId="0" applyNumberFormat="1" applyFill="1" applyAlignment="1">
      <alignment horizontal="center"/>
    </xf>
    <xf numFmtId="164" fontId="0" fillId="8" borderId="0" xfId="1" applyFont="1" applyFill="1" applyBorder="1" applyAlignment="1" applyProtection="1">
      <alignment horizontal="center"/>
    </xf>
    <xf numFmtId="164" fontId="0" fillId="8" borderId="1" xfId="1" applyFont="1" applyFill="1" applyBorder="1" applyAlignment="1" applyProtection="1">
      <alignment horizontal="center"/>
    </xf>
    <xf numFmtId="0" fontId="0" fillId="8" borderId="1" xfId="0" applyFill="1" applyBorder="1"/>
    <xf numFmtId="164" fontId="0" fillId="8" borderId="6" xfId="1" applyFont="1" applyFill="1" applyBorder="1" applyAlignment="1" applyProtection="1">
      <alignment horizontal="center"/>
    </xf>
    <xf numFmtId="164" fontId="0" fillId="12" borderId="0" xfId="1" applyFont="1" applyFill="1" applyBorder="1" applyAlignment="1" applyProtection="1">
      <alignment horizontal="right"/>
    </xf>
    <xf numFmtId="164" fontId="0" fillId="0" borderId="0" xfId="1" applyFont="1" applyFill="1"/>
    <xf numFmtId="0" fontId="0" fillId="10" borderId="6" xfId="0" applyFill="1" applyBorder="1"/>
    <xf numFmtId="169" fontId="4" fillId="10" borderId="6" xfId="0" applyNumberFormat="1" applyFont="1" applyFill="1" applyBorder="1" applyAlignment="1">
      <alignment horizontal="center"/>
    </xf>
    <xf numFmtId="14" fontId="0" fillId="10" borderId="6" xfId="0" applyNumberFormat="1" applyFill="1" applyBorder="1" applyAlignment="1">
      <alignment horizontal="right"/>
    </xf>
    <xf numFmtId="164" fontId="13" fillId="10" borderId="6" xfId="1" applyFill="1" applyBorder="1" applyAlignment="1" applyProtection="1"/>
    <xf numFmtId="14" fontId="4" fillId="0" borderId="0" xfId="1" applyNumberFormat="1" applyFont="1" applyFill="1" applyAlignment="1">
      <alignment horizontal="right"/>
    </xf>
    <xf numFmtId="164" fontId="18" fillId="8" borderId="0" xfId="1" applyFont="1" applyFill="1" applyBorder="1" applyAlignment="1" applyProtection="1">
      <alignment horizontal="right"/>
    </xf>
    <xf numFmtId="164" fontId="3" fillId="8" borderId="0" xfId="1" applyFont="1" applyFill="1" applyBorder="1" applyAlignment="1" applyProtection="1">
      <alignment horizontal="right"/>
    </xf>
    <xf numFmtId="164" fontId="3" fillId="8" borderId="0" xfId="1" applyFont="1" applyFill="1"/>
    <xf numFmtId="164" fontId="13" fillId="10" borderId="6" xfId="1" applyFill="1" applyBorder="1" applyAlignment="1" applyProtection="1">
      <alignment horizontal="center"/>
    </xf>
    <xf numFmtId="164" fontId="17" fillId="0" borderId="0" xfId="1" applyFont="1" applyFill="1" applyBorder="1" applyAlignment="1" applyProtection="1">
      <alignment horizontal="center"/>
    </xf>
    <xf numFmtId="164" fontId="20" fillId="8" borderId="8" xfId="1" applyFont="1" applyFill="1" applyBorder="1" applyAlignment="1" applyProtection="1">
      <alignment horizontal="center"/>
    </xf>
    <xf numFmtId="164" fontId="19" fillId="14" borderId="14" xfId="1" applyFont="1" applyFill="1" applyBorder="1" applyAlignment="1" applyProtection="1">
      <alignment horizontal="right"/>
    </xf>
    <xf numFmtId="164" fontId="19" fillId="14" borderId="15" xfId="1" applyFont="1" applyFill="1" applyBorder="1" applyAlignment="1" applyProtection="1">
      <alignment horizontal="right"/>
    </xf>
    <xf numFmtId="164" fontId="19" fillId="14" borderId="18" xfId="1" applyFont="1" applyFill="1" applyBorder="1" applyAlignment="1" applyProtection="1">
      <alignment horizontal="center"/>
    </xf>
    <xf numFmtId="164" fontId="19" fillId="14" borderId="6" xfId="1" applyFont="1" applyFill="1" applyBorder="1" applyAlignment="1" applyProtection="1">
      <alignment horizontal="center"/>
    </xf>
    <xf numFmtId="164" fontId="19" fillId="14" borderId="16" xfId="1" applyFont="1" applyFill="1" applyBorder="1" applyAlignment="1" applyProtection="1">
      <alignment horizontal="center"/>
    </xf>
    <xf numFmtId="0" fontId="21" fillId="0" borderId="0" xfId="0" applyFont="1" applyAlignment="1">
      <alignment horizontal="right"/>
    </xf>
    <xf numFmtId="0" fontId="0" fillId="8" borderId="0" xfId="0" applyFill="1" applyAlignment="1">
      <alignment horizontal="center"/>
    </xf>
    <xf numFmtId="0" fontId="0" fillId="8" borderId="0" xfId="0" applyFill="1" applyAlignment="1">
      <alignment horizontal="right"/>
    </xf>
    <xf numFmtId="164" fontId="0" fillId="5" borderId="0" xfId="1" applyFont="1" applyFill="1" applyBorder="1" applyAlignment="1" applyProtection="1">
      <alignment horizontal="center"/>
    </xf>
    <xf numFmtId="164" fontId="0" fillId="5" borderId="0" xfId="1" applyFont="1" applyFill="1" applyBorder="1" applyAlignment="1" applyProtection="1"/>
    <xf numFmtId="39" fontId="0" fillId="2" borderId="0" xfId="3" applyNumberFormat="1" applyFont="1" applyFill="1" applyBorder="1" applyAlignment="1" applyProtection="1">
      <alignment horizontal="center"/>
    </xf>
    <xf numFmtId="166" fontId="2" fillId="8" borderId="0" xfId="1" applyNumberFormat="1" applyFont="1" applyFill="1" applyBorder="1" applyAlignment="1" applyProtection="1">
      <alignment horizontal="center"/>
    </xf>
    <xf numFmtId="0" fontId="2" fillId="8" borderId="0" xfId="0" applyFont="1" applyFill="1" applyAlignment="1">
      <alignment horizontal="right"/>
    </xf>
    <xf numFmtId="164" fontId="2" fillId="5" borderId="0" xfId="1" applyFont="1" applyFill="1" applyBorder="1" applyAlignment="1" applyProtection="1">
      <alignment horizontal="center"/>
    </xf>
    <xf numFmtId="0" fontId="2" fillId="5" borderId="17" xfId="0" applyFont="1" applyFill="1" applyBorder="1" applyAlignment="1">
      <alignment horizontal="center"/>
    </xf>
    <xf numFmtId="0" fontId="2" fillId="5" borderId="17" xfId="0" applyFont="1" applyFill="1" applyBorder="1"/>
    <xf numFmtId="0" fontId="2" fillId="5" borderId="17" xfId="0" applyFont="1" applyFill="1" applyBorder="1" applyAlignment="1">
      <alignment horizontal="right"/>
    </xf>
    <xf numFmtId="164" fontId="2" fillId="5" borderId="17" xfId="1" applyFont="1" applyFill="1" applyBorder="1" applyAlignment="1" applyProtection="1">
      <alignment horizontal="center"/>
    </xf>
    <xf numFmtId="164" fontId="2" fillId="5" borderId="17" xfId="1" applyFont="1" applyFill="1" applyBorder="1" applyAlignment="1" applyProtection="1"/>
    <xf numFmtId="39" fontId="0" fillId="6" borderId="17" xfId="3" applyNumberFormat="1" applyFont="1" applyFill="1" applyBorder="1" applyAlignment="1" applyProtection="1">
      <alignment horizontal="center"/>
    </xf>
    <xf numFmtId="0" fontId="0" fillId="0" borderId="0" xfId="0" applyAlignment="1">
      <alignment horizontal="center"/>
    </xf>
    <xf numFmtId="169" fontId="0" fillId="0" borderId="0" xfId="6" applyNumberFormat="1" applyFont="1" applyFill="1" applyBorder="1" applyAlignment="1"/>
    <xf numFmtId="39" fontId="0" fillId="9" borderId="0" xfId="3" applyNumberFormat="1" applyFont="1" applyFill="1" applyBorder="1" applyAlignment="1" applyProtection="1">
      <alignment horizontal="right"/>
    </xf>
    <xf numFmtId="0" fontId="0" fillId="15" borderId="0" xfId="0" applyFill="1"/>
    <xf numFmtId="164" fontId="23" fillId="14" borderId="0" xfId="1" applyFont="1" applyFill="1"/>
    <xf numFmtId="0" fontId="0" fillId="11" borderId="0" xfId="0" applyFill="1"/>
    <xf numFmtId="0" fontId="0" fillId="11" borderId="0" xfId="0" applyFill="1" applyAlignment="1">
      <alignment horizontal="center"/>
    </xf>
    <xf numFmtId="14" fontId="0" fillId="11" borderId="0" xfId="0" applyNumberFormat="1" applyFill="1" applyAlignment="1">
      <alignment horizontal="right"/>
    </xf>
    <xf numFmtId="164" fontId="0" fillId="11" borderId="0" xfId="1" applyFont="1" applyFill="1" applyBorder="1" applyAlignment="1" applyProtection="1"/>
    <xf numFmtId="169" fontId="0" fillId="11" borderId="0" xfId="6" applyNumberFormat="1" applyFont="1" applyFill="1" applyBorder="1" applyAlignment="1"/>
    <xf numFmtId="169" fontId="0" fillId="0" borderId="0" xfId="6" applyNumberFormat="1" applyFont="1" applyBorder="1" applyAlignment="1"/>
    <xf numFmtId="169" fontId="0" fillId="8" borderId="0" xfId="6" applyNumberFormat="1" applyFont="1" applyFill="1" applyBorder="1" applyAlignment="1"/>
    <xf numFmtId="164" fontId="0" fillId="11" borderId="0" xfId="1" applyFont="1" applyFill="1" applyBorder="1" applyAlignment="1" applyProtection="1">
      <alignment horizontal="right"/>
    </xf>
    <xf numFmtId="164" fontId="2" fillId="10" borderId="0" xfId="1" applyFont="1" applyFill="1" applyBorder="1" applyAlignment="1" applyProtection="1"/>
    <xf numFmtId="169" fontId="0" fillId="10" borderId="0" xfId="6" applyNumberFormat="1" applyFont="1" applyFill="1" applyBorder="1" applyAlignment="1"/>
    <xf numFmtId="164" fontId="2" fillId="5" borderId="0" xfId="1" applyFont="1" applyFill="1" applyBorder="1" applyAlignment="1" applyProtection="1"/>
    <xf numFmtId="169" fontId="0" fillId="0" borderId="0" xfId="0" applyNumberFormat="1"/>
    <xf numFmtId="169" fontId="0" fillId="10" borderId="0" xfId="0" applyNumberFormat="1" applyFill="1"/>
    <xf numFmtId="169" fontId="0" fillId="11" borderId="0" xfId="0" applyNumberFormat="1" applyFill="1"/>
    <xf numFmtId="164" fontId="2" fillId="10" borderId="0" xfId="1" applyFont="1" applyFill="1" applyBorder="1" applyAlignment="1" applyProtection="1">
      <alignment horizontal="center"/>
    </xf>
    <xf numFmtId="164" fontId="0" fillId="5" borderId="0" xfId="1" applyFont="1" applyFill="1" applyBorder="1" applyAlignment="1" applyProtection="1">
      <alignment horizontal="right"/>
    </xf>
    <xf numFmtId="169" fontId="0" fillId="0" borderId="4" xfId="0" applyNumberFormat="1" applyBorder="1"/>
    <xf numFmtId="164" fontId="23" fillId="14" borderId="4" xfId="1" applyFont="1" applyFill="1" applyBorder="1"/>
    <xf numFmtId="170" fontId="0" fillId="0" borderId="0" xfId="0" applyNumberFormat="1"/>
    <xf numFmtId="164" fontId="0" fillId="7" borderId="0" xfId="1" applyFont="1" applyFill="1" applyBorder="1" applyAlignment="1" applyProtection="1">
      <alignment horizontal="right"/>
    </xf>
    <xf numFmtId="164" fontId="3" fillId="0" borderId="0" xfId="0" applyNumberFormat="1" applyFont="1"/>
    <xf numFmtId="0" fontId="0" fillId="7" borderId="0" xfId="0" applyFill="1"/>
    <xf numFmtId="164" fontId="13" fillId="7" borderId="0" xfId="1" applyFill="1" applyBorder="1" applyAlignment="1" applyProtection="1">
      <alignment horizontal="right"/>
    </xf>
    <xf numFmtId="0" fontId="3" fillId="13" borderId="0" xfId="0" applyFont="1" applyFill="1" applyAlignment="1">
      <alignment horizontal="left"/>
    </xf>
    <xf numFmtId="164" fontId="4" fillId="13" borderId="0" xfId="1" applyFont="1" applyFill="1" applyBorder="1" applyAlignment="1" applyProtection="1">
      <alignment horizontal="right"/>
    </xf>
    <xf numFmtId="0" fontId="4" fillId="13" borderId="0" xfId="0" applyFont="1" applyFill="1" applyAlignment="1">
      <alignment horizontal="left"/>
    </xf>
    <xf numFmtId="0" fontId="16" fillId="13" borderId="0" xfId="0" applyFont="1" applyFill="1"/>
    <xf numFmtId="164" fontId="4" fillId="13" borderId="8" xfId="1" applyFont="1" applyFill="1" applyBorder="1" applyAlignment="1">
      <alignment horizontal="left"/>
    </xf>
    <xf numFmtId="14" fontId="2" fillId="0" borderId="8" xfId="0" applyNumberFormat="1" applyFont="1" applyBorder="1" applyAlignment="1">
      <alignment horizontal="right"/>
    </xf>
    <xf numFmtId="14" fontId="17" fillId="0" borderId="8" xfId="0" applyNumberFormat="1" applyFont="1" applyBorder="1" applyAlignment="1">
      <alignment horizontal="right"/>
    </xf>
    <xf numFmtId="164" fontId="17" fillId="0" borderId="8" xfId="1" applyFont="1" applyFill="1" applyBorder="1" applyAlignment="1" applyProtection="1"/>
    <xf numFmtId="164" fontId="17" fillId="8" borderId="8" xfId="1" applyFont="1" applyFill="1" applyBorder="1" applyAlignment="1" applyProtection="1">
      <alignment horizontal="center"/>
    </xf>
    <xf numFmtId="164" fontId="17" fillId="0" borderId="8" xfId="1" applyFont="1" applyFill="1" applyBorder="1" applyAlignment="1" applyProtection="1">
      <alignment horizontal="right"/>
    </xf>
    <xf numFmtId="0" fontId="3" fillId="9" borderId="0" xfId="0" applyFont="1" applyFill="1"/>
    <xf numFmtId="164" fontId="3" fillId="8" borderId="0" xfId="1" applyFont="1" applyFill="1" applyAlignment="1">
      <alignment horizontal="left"/>
    </xf>
    <xf numFmtId="164" fontId="3" fillId="8" borderId="0" xfId="1" applyFont="1" applyFill="1" applyBorder="1" applyAlignment="1">
      <alignment horizontal="left"/>
    </xf>
    <xf numFmtId="164" fontId="7" fillId="13" borderId="0" xfId="1" applyFont="1" applyFill="1" applyAlignment="1">
      <alignment horizontal="left"/>
    </xf>
    <xf numFmtId="164" fontId="3" fillId="13" borderId="0" xfId="1" applyFont="1" applyFill="1"/>
    <xf numFmtId="164" fontId="19" fillId="12" borderId="0" xfId="1" applyFont="1" applyFill="1" applyBorder="1" applyAlignment="1" applyProtection="1">
      <alignment horizontal="center"/>
    </xf>
    <xf numFmtId="164" fontId="19" fillId="12" borderId="0" xfId="1" applyFont="1" applyFill="1" applyBorder="1" applyAlignment="1" applyProtection="1">
      <alignment horizontal="right"/>
    </xf>
    <xf numFmtId="164" fontId="20" fillId="12" borderId="8" xfId="1" applyFont="1" applyFill="1" applyBorder="1" applyAlignment="1" applyProtection="1">
      <alignment horizontal="center"/>
    </xf>
    <xf numFmtId="169" fontId="4" fillId="7" borderId="0" xfId="0" applyNumberFormat="1" applyFont="1" applyFill="1" applyAlignment="1">
      <alignment horizontal="center"/>
    </xf>
    <xf numFmtId="14" fontId="0" fillId="7" borderId="0" xfId="0" applyNumberFormat="1" applyFill="1" applyAlignment="1">
      <alignment horizontal="right"/>
    </xf>
    <xf numFmtId="0" fontId="0" fillId="7" borderId="0" xfId="0" applyFill="1" applyAlignment="1">
      <alignment horizontal="left"/>
    </xf>
    <xf numFmtId="164" fontId="0" fillId="7" borderId="0" xfId="1" applyFont="1" applyFill="1" applyBorder="1" applyAlignment="1" applyProtection="1"/>
    <xf numFmtId="169" fontId="0" fillId="8" borderId="0" xfId="0" applyNumberFormat="1" applyFill="1" applyAlignment="1">
      <alignment horizontal="center"/>
    </xf>
    <xf numFmtId="0" fontId="0" fillId="19" borderId="0" xfId="0" applyFill="1"/>
    <xf numFmtId="0" fontId="2" fillId="19" borderId="0" xfId="0" applyFont="1" applyFill="1" applyAlignment="1">
      <alignment horizontal="center"/>
    </xf>
    <xf numFmtId="0" fontId="2" fillId="19" borderId="17" xfId="0" applyFont="1" applyFill="1" applyBorder="1" applyAlignment="1">
      <alignment horizontal="center"/>
    </xf>
    <xf numFmtId="14" fontId="0" fillId="19" borderId="0" xfId="0" applyNumberFormat="1" applyFill="1"/>
    <xf numFmtId="0" fontId="0" fillId="19" borderId="0" xfId="0" applyFill="1" applyAlignment="1">
      <alignment horizontal="center"/>
    </xf>
    <xf numFmtId="165" fontId="2" fillId="19" borderId="0" xfId="3" applyFont="1" applyFill="1"/>
    <xf numFmtId="0" fontId="0" fillId="20" borderId="0" xfId="0" applyFill="1"/>
    <xf numFmtId="0" fontId="0" fillId="20" borderId="0" xfId="0" applyFill="1" applyAlignment="1">
      <alignment horizontal="center"/>
    </xf>
    <xf numFmtId="14" fontId="0" fillId="20" borderId="0" xfId="0" applyNumberFormat="1" applyFill="1" applyAlignment="1">
      <alignment horizontal="right"/>
    </xf>
    <xf numFmtId="164" fontId="0" fillId="20" borderId="0" xfId="1" applyFont="1" applyFill="1" applyBorder="1" applyAlignment="1" applyProtection="1">
      <alignment horizontal="right"/>
    </xf>
    <xf numFmtId="169" fontId="0" fillId="20" borderId="0" xfId="6" applyNumberFormat="1" applyFont="1" applyFill="1" applyBorder="1" applyAlignment="1"/>
    <xf numFmtId="164" fontId="0" fillId="20" borderId="0" xfId="1" applyFont="1" applyFill="1" applyBorder="1" applyAlignment="1" applyProtection="1"/>
    <xf numFmtId="0" fontId="0" fillId="7" borderId="0" xfId="0" applyFill="1" applyAlignment="1">
      <alignment horizontal="center"/>
    </xf>
    <xf numFmtId="0" fontId="0" fillId="12" borderId="0" xfId="0" applyFill="1" applyAlignment="1">
      <alignment horizontal="center"/>
    </xf>
    <xf numFmtId="164" fontId="0" fillId="12" borderId="0" xfId="1" applyFont="1" applyFill="1" applyBorder="1" applyAlignment="1" applyProtection="1"/>
    <xf numFmtId="169" fontId="0" fillId="12" borderId="0" xfId="6" applyNumberFormat="1" applyFont="1" applyFill="1" applyBorder="1" applyAlignment="1"/>
    <xf numFmtId="164" fontId="13" fillId="0" borderId="14" xfId="1" applyFill="1" applyBorder="1" applyAlignment="1" applyProtection="1">
      <alignment horizontal="center"/>
    </xf>
    <xf numFmtId="164" fontId="13" fillId="0" borderId="15" xfId="1" applyFill="1" applyBorder="1" applyAlignment="1" applyProtection="1">
      <alignment horizontal="center"/>
    </xf>
    <xf numFmtId="164" fontId="19" fillId="14" borderId="19" xfId="1" applyFont="1" applyFill="1" applyBorder="1" applyAlignment="1" applyProtection="1">
      <alignment horizontal="right"/>
    </xf>
    <xf numFmtId="164" fontId="19" fillId="14" borderId="3" xfId="1" applyFont="1" applyFill="1" applyBorder="1" applyAlignment="1" applyProtection="1">
      <alignment horizontal="right"/>
    </xf>
    <xf numFmtId="164" fontId="19" fillId="14" borderId="20" xfId="1" applyFont="1" applyFill="1" applyBorder="1" applyAlignment="1" applyProtection="1">
      <alignment horizontal="right"/>
    </xf>
    <xf numFmtId="169" fontId="0" fillId="12" borderId="0" xfId="0" applyNumberFormat="1" applyFill="1"/>
    <xf numFmtId="169" fontId="0" fillId="7" borderId="0" xfId="0" applyNumberFormat="1" applyFill="1"/>
    <xf numFmtId="0" fontId="24" fillId="0" borderId="1" xfId="0" applyFont="1" applyBorder="1"/>
    <xf numFmtId="0" fontId="9" fillId="17" borderId="0" xfId="0" applyFont="1" applyFill="1" applyAlignment="1">
      <alignment horizontal="center"/>
    </xf>
    <xf numFmtId="0" fontId="0" fillId="18" borderId="0" xfId="0" applyFill="1" applyAlignment="1">
      <alignment horizontal="center"/>
    </xf>
    <xf numFmtId="167" fontId="0" fillId="18" borderId="0" xfId="0" applyNumberFormat="1" applyFill="1" applyAlignment="1">
      <alignment horizontal="center"/>
    </xf>
    <xf numFmtId="0" fontId="10" fillId="0" borderId="0" xfId="0" applyFont="1" applyAlignment="1">
      <alignment horizontal="center"/>
    </xf>
    <xf numFmtId="164" fontId="14" fillId="14" borderId="7" xfId="1" applyFont="1" applyFill="1" applyBorder="1" applyAlignment="1" applyProtection="1">
      <alignment horizontal="center" wrapText="1"/>
    </xf>
    <xf numFmtId="164" fontId="14" fillId="14" borderId="0" xfId="1" applyFont="1" applyFill="1" applyBorder="1" applyAlignment="1" applyProtection="1">
      <alignment horizontal="center" wrapText="1"/>
    </xf>
    <xf numFmtId="164" fontId="14" fillId="14" borderId="6" xfId="1" applyFont="1" applyFill="1" applyBorder="1" applyAlignment="1" applyProtection="1">
      <alignment horizontal="center" wrapText="1"/>
    </xf>
    <xf numFmtId="164" fontId="14" fillId="14" borderId="15" xfId="1" applyFont="1" applyFill="1" applyBorder="1" applyAlignment="1" applyProtection="1">
      <alignment horizontal="center" wrapText="1"/>
    </xf>
    <xf numFmtId="164" fontId="14" fillId="14" borderId="16" xfId="1" applyFont="1" applyFill="1" applyBorder="1" applyAlignment="1" applyProtection="1">
      <alignment horizontal="center" wrapText="1"/>
    </xf>
    <xf numFmtId="0" fontId="2" fillId="0" borderId="0" xfId="0" applyFont="1" applyAlignment="1">
      <alignment horizontal="center"/>
    </xf>
    <xf numFmtId="164" fontId="22" fillId="14" borderId="12" xfId="1" applyFont="1" applyFill="1" applyBorder="1" applyAlignment="1" applyProtection="1">
      <alignment horizontal="center" wrapText="1"/>
    </xf>
    <xf numFmtId="164" fontId="22" fillId="14" borderId="14" xfId="1" applyFont="1" applyFill="1" applyBorder="1" applyAlignment="1" applyProtection="1">
      <alignment horizontal="center" wrapText="1"/>
    </xf>
    <xf numFmtId="164" fontId="22" fillId="14" borderId="18" xfId="1" applyFont="1" applyFill="1" applyBorder="1" applyAlignment="1" applyProtection="1">
      <alignment horizontal="center" wrapText="1"/>
    </xf>
    <xf numFmtId="170" fontId="2" fillId="16" borderId="0" xfId="3" applyNumberFormat="1" applyFont="1" applyFill="1" applyBorder="1" applyAlignment="1" applyProtection="1">
      <alignment horizontal="center" wrapText="1"/>
    </xf>
  </cellXfs>
  <cellStyles count="7">
    <cellStyle name="Comma" xfId="1" builtinId="3"/>
    <cellStyle name="Comma 2" xfId="2" xr:uid="{00000000-0005-0000-0000-000001000000}"/>
    <cellStyle name="Currency" xfId="3" builtinId="4"/>
    <cellStyle name="Currency 2" xfId="4" xr:uid="{00000000-0005-0000-0000-000003000000}"/>
    <cellStyle name="Normal" xfId="0" builtinId="0"/>
    <cellStyle name="Normal 2" xfId="5" xr:uid="{00000000-0005-0000-0000-000005000000}"/>
    <cellStyle name="Percent" xfId="6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1448832"/>
        <c:axId val="111450368"/>
      </c:barChart>
      <c:catAx>
        <c:axId val="11144883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solidFill>
            <a:srgbClr val="FFFFFF"/>
          </a:solidFill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1450368"/>
        <c:crosses val="autoZero"/>
        <c:auto val="1"/>
        <c:lblAlgn val="ctr"/>
        <c:lblOffset val="100"/>
        <c:tickMarkSkip val="1"/>
        <c:noMultiLvlLbl val="0"/>
      </c:catAx>
      <c:valAx>
        <c:axId val="111450368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solidFill>
            <a:srgbClr val="FFFFFF"/>
          </a:solidFill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1448832"/>
        <c:crosses val="autoZero"/>
        <c:crossBetween val="between"/>
      </c:valAx>
      <c:spPr>
        <a:solidFill>
          <a:srgbClr val="C0C0FF"/>
        </a:solidFill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11" r="0.75000000000000011" t="1" header="0.51180555555555562" footer="0.51180555555555562"/>
    <c:pageSetup firstPageNumber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200"/>
              <a:t>Diversification of Market Value</a:t>
            </a:r>
            <a:endParaRPr lang="en-US"/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dLbls>
            <c:dLbl>
              <c:idx val="0"/>
              <c:layout>
                <c:manualLayout>
                  <c:x val="3.6966950057385921E-2"/>
                  <c:y val="-8.2640419947506566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117-4645-9369-7B346C73F410}"/>
                </c:ext>
              </c:extLst>
            </c:dLbl>
            <c:dLbl>
              <c:idx val="1"/>
              <c:layout>
                <c:manualLayout>
                  <c:x val="-3.2395456851556072E-2"/>
                  <c:y val="6.2188976377952759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4E5-49F5-A279-96562A12C693}"/>
                </c:ext>
              </c:extLst>
            </c:dLbl>
            <c:dLbl>
              <c:idx val="2"/>
              <c:layout>
                <c:manualLayout>
                  <c:x val="-3.0993432822692533E-2"/>
                  <c:y val="-3.6137007874015747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119-4B8C-8308-B082CA1B760B}"/>
                </c:ext>
              </c:extLst>
            </c:dLbl>
            <c:dLbl>
              <c:idx val="3"/>
              <c:layout>
                <c:manualLayout>
                  <c:x val="1.1925487625887327E-2"/>
                  <c:y val="-3.0471391076115455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4E5-49F5-A279-96562A12C693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'Recap Sheet'!$H$27:$K$27</c:f>
              <c:numCache>
                <c:formatCode>_(* #,##0.00_);_(* \(#,##0.00\);_(* \-??_);_(@_)</c:formatCode>
                <c:ptCount val="4"/>
                <c:pt idx="0">
                  <c:v>81177194.489999995</c:v>
                </c:pt>
                <c:pt idx="1">
                  <c:v>2695601.2600000002</c:v>
                </c:pt>
                <c:pt idx="2">
                  <c:v>2991073.88</c:v>
                </c:pt>
                <c:pt idx="3">
                  <c:v>12945842.470000001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41-4FC1-ADC9-4C5B6D4830E9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200"/>
              <a:t>Diversification of Market Value</a:t>
            </a:r>
            <a:endParaRPr lang="en-US"/>
          </a:p>
        </c:rich>
      </c:tx>
      <c:overlay val="0"/>
    </c:title>
    <c:autoTitleDeleted val="0"/>
    <c:plotArea>
      <c:layout/>
      <c:pieChart>
        <c:varyColors val="1"/>
        <c:ser>
          <c:idx val="1"/>
          <c:order val="1"/>
          <c:dLbls>
            <c:dLbl>
              <c:idx val="0"/>
              <c:layout>
                <c:manualLayout>
                  <c:x val="3.7226624698818399E-2"/>
                  <c:y val="-0.1023545896221386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58E-4337-BF7A-32AC787EB208}"/>
                </c:ext>
              </c:extLst>
            </c:dLbl>
            <c:dLbl>
              <c:idx val="1"/>
              <c:layout>
                <c:manualLayout>
                  <c:x val="-1.961408411392522E-2"/>
                  <c:y val="5.8779959081517133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58E-4337-BF7A-32AC787EB208}"/>
                </c:ext>
              </c:extLst>
            </c:dLbl>
            <c:dLbl>
              <c:idx val="2"/>
              <c:layout>
                <c:manualLayout>
                  <c:x val="-8.0678816493230023E-3"/>
                  <c:y val="-4.564289231737715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0343796711509715"/>
                      <c:h val="0.1302710468734928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B744-4ED1-A9D0-BFEAE22E3BA1}"/>
                </c:ext>
              </c:extLst>
            </c:dLbl>
            <c:dLbl>
              <c:idx val="3"/>
              <c:layout>
                <c:manualLayout>
                  <c:x val="2.8622206977491044E-2"/>
                  <c:y val="-3.0949298649080886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744-4ED1-A9D0-BFEAE22E3BA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'Recap Sheet'!$B$27:$E$27</c:f>
              <c:numCache>
                <c:formatCode>_(* #,##0.00_);_(* \(#,##0.00\);_(* \-??_);_(@_)</c:formatCode>
                <c:ptCount val="4"/>
                <c:pt idx="0">
                  <c:v>59780879.760000013</c:v>
                </c:pt>
                <c:pt idx="1">
                  <c:v>2700520.9099999997</c:v>
                </c:pt>
                <c:pt idx="2">
                  <c:v>3935851.6</c:v>
                </c:pt>
                <c:pt idx="3">
                  <c:v>12500000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C1-47C4-935F-A768AD281DBE}"/>
            </c:ext>
          </c:extLst>
        </c:ser>
        <c:ser>
          <c:idx val="2"/>
          <c:order val="2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'Recap Sheet'!$H$27:$K$27</c:f>
              <c:numCache>
                <c:formatCode>_(* #,##0.00_);_(* \(#,##0.00\);_(* \-??_);_(@_)</c:formatCode>
                <c:ptCount val="4"/>
                <c:pt idx="0">
                  <c:v>81177194.489999995</c:v>
                </c:pt>
                <c:pt idx="1">
                  <c:v>2695601.2600000002</c:v>
                </c:pt>
                <c:pt idx="2">
                  <c:v>2991073.88</c:v>
                </c:pt>
                <c:pt idx="3">
                  <c:v>12945842.470000001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1-47C4-935F-A768AD281DBE}"/>
            </c:ext>
          </c:extLst>
        </c:ser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'Recap Sheet'!$H$27:$K$27</c:f>
              <c:numCache>
                <c:formatCode>_(* #,##0.00_);_(* \(#,##0.00\);_(* \-??_);_(@_)</c:formatCode>
                <c:ptCount val="4"/>
                <c:pt idx="0">
                  <c:v>81177194.489999995</c:v>
                </c:pt>
                <c:pt idx="1">
                  <c:v>2695601.2600000002</c:v>
                </c:pt>
                <c:pt idx="2">
                  <c:v>2991073.88</c:v>
                </c:pt>
                <c:pt idx="3">
                  <c:v>12945842.470000001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9C1-47C4-935F-A768AD281DBE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390525</xdr:colOff>
      <xdr:row>0</xdr:row>
      <xdr:rowOff>0</xdr:rowOff>
    </xdr:from>
    <xdr:to>
      <xdr:col>5</xdr:col>
      <xdr:colOff>19050</xdr:colOff>
      <xdr:row>9</xdr:row>
      <xdr:rowOff>152400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1B7948D-A682-2EA6-6E48-EB7642488F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19600" y="0"/>
          <a:ext cx="1609725" cy="1609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57151</xdr:colOff>
      <xdr:row>25</xdr:row>
      <xdr:rowOff>57150</xdr:rowOff>
    </xdr:from>
    <xdr:to>
      <xdr:col>6</xdr:col>
      <xdr:colOff>257176</xdr:colOff>
      <xdr:row>37</xdr:row>
      <xdr:rowOff>157835</xdr:rowOff>
    </xdr:to>
    <xdr:pic>
      <xdr:nvPicPr>
        <xdr:cNvPr id="4" name="Picture 3" descr="Photo">
          <a:extLst>
            <a:ext uri="{FF2B5EF4-FFF2-40B4-BE49-F238E27FC236}">
              <a16:creationId xmlns:a16="http://schemas.microsoft.com/office/drawing/2014/main" id="{AD4CE874-492F-0BB8-1B62-0056367486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0401" y="4819650"/>
          <a:ext cx="3676650" cy="20437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29</xdr:row>
      <xdr:rowOff>38100</xdr:rowOff>
    </xdr:from>
    <xdr:to>
      <xdr:col>1</xdr:col>
      <xdr:colOff>0</xdr:colOff>
      <xdr:row>29</xdr:row>
      <xdr:rowOff>95250</xdr:rowOff>
    </xdr:to>
    <xdr:graphicFrame macro="">
      <xdr:nvGraphicFramePr>
        <xdr:cNvPr id="1025" name="Chart 1">
          <a:extLst>
            <a:ext uri="{FF2B5EF4-FFF2-40B4-BE49-F238E27FC236}">
              <a16:creationId xmlns:a16="http://schemas.microsoft.com/office/drawing/2014/main" id="{00000000-0008-0000-0200-000001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139065</xdr:colOff>
      <xdr:row>29</xdr:row>
      <xdr:rowOff>64770</xdr:rowOff>
    </xdr:from>
    <xdr:to>
      <xdr:col>10</xdr:col>
      <xdr:colOff>245745</xdr:colOff>
      <xdr:row>41</xdr:row>
      <xdr:rowOff>26670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266700</xdr:colOff>
      <xdr:row>29</xdr:row>
      <xdr:rowOff>0</xdr:rowOff>
    </xdr:from>
    <xdr:to>
      <xdr:col>4</xdr:col>
      <xdr:colOff>68580</xdr:colOff>
      <xdr:row>41</xdr:row>
      <xdr:rowOff>26670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3:L25"/>
  <sheetViews>
    <sheetView showGridLines="0" tabSelected="1" workbookViewId="0"/>
  </sheetViews>
  <sheetFormatPr defaultRowHeight="12.75" x14ac:dyDescent="0.2"/>
  <cols>
    <col min="1" max="1" width="35.85546875" customWidth="1"/>
    <col min="2" max="2" width="11.28515625" customWidth="1"/>
    <col min="3" max="3" width="13.28515625" customWidth="1"/>
    <col min="4" max="4" width="11.7109375" customWidth="1"/>
    <col min="5" max="5" width="18" customWidth="1"/>
  </cols>
  <sheetData>
    <row r="13" spans="1:12" ht="15.75" x14ac:dyDescent="0.25">
      <c r="B13" s="32"/>
    </row>
    <row r="14" spans="1:12" ht="35.25" x14ac:dyDescent="0.5">
      <c r="A14" s="291" t="s">
        <v>57</v>
      </c>
      <c r="B14" s="291"/>
      <c r="C14" s="291"/>
      <c r="D14" s="291"/>
      <c r="E14" s="291"/>
      <c r="F14" s="291"/>
      <c r="G14" s="291"/>
      <c r="H14" s="291"/>
      <c r="I14" s="291"/>
      <c r="J14" s="291"/>
      <c r="K14" s="291"/>
      <c r="L14" s="291"/>
    </row>
    <row r="17" spans="1:12" ht="18" x14ac:dyDescent="0.25">
      <c r="A17" s="294" t="s">
        <v>58</v>
      </c>
      <c r="B17" s="294"/>
      <c r="C17" s="294"/>
      <c r="D17" s="294"/>
      <c r="E17" s="294"/>
      <c r="F17" s="294"/>
      <c r="G17" s="294"/>
      <c r="H17" s="294"/>
      <c r="I17" s="294"/>
      <c r="J17" s="294"/>
      <c r="K17" s="294"/>
      <c r="L17" s="294"/>
    </row>
    <row r="20" spans="1:12" x14ac:dyDescent="0.2">
      <c r="A20" s="292" t="s">
        <v>59</v>
      </c>
      <c r="B20" s="292"/>
      <c r="C20" s="292"/>
      <c r="D20" s="292"/>
      <c r="E20" s="292"/>
      <c r="F20" s="292"/>
      <c r="G20" s="292"/>
      <c r="H20" s="292"/>
      <c r="I20" s="292"/>
      <c r="J20" s="292"/>
      <c r="K20" s="292"/>
      <c r="L20" s="292"/>
    </row>
    <row r="21" spans="1:12" x14ac:dyDescent="0.2">
      <c r="A21" s="293">
        <v>45657</v>
      </c>
      <c r="B21" s="293"/>
      <c r="C21" s="293"/>
      <c r="D21" s="293"/>
      <c r="E21" s="293"/>
      <c r="F21" s="293"/>
      <c r="G21" s="293"/>
      <c r="H21" s="293"/>
      <c r="I21" s="293"/>
      <c r="J21" s="293"/>
      <c r="K21" s="293"/>
      <c r="L21" s="293"/>
    </row>
    <row r="22" spans="1:12" x14ac:dyDescent="0.2">
      <c r="A22" s="178"/>
      <c r="B22" s="178"/>
      <c r="C22" s="178"/>
      <c r="D22" s="178"/>
      <c r="E22" s="178"/>
      <c r="F22" s="178"/>
      <c r="G22" s="178"/>
      <c r="H22" s="178"/>
      <c r="I22" s="178"/>
      <c r="J22" s="178"/>
      <c r="K22" s="178"/>
      <c r="L22" s="178"/>
    </row>
    <row r="23" spans="1:12" x14ac:dyDescent="0.2">
      <c r="A23" s="178"/>
      <c r="B23" s="178"/>
      <c r="C23" s="178"/>
      <c r="D23" s="178"/>
      <c r="E23" s="178"/>
      <c r="F23" s="178"/>
      <c r="G23" s="178"/>
      <c r="H23" s="178"/>
      <c r="I23" s="178"/>
      <c r="J23" s="178"/>
      <c r="K23" s="178"/>
      <c r="L23" s="178"/>
    </row>
    <row r="24" spans="1:12" x14ac:dyDescent="0.2">
      <c r="A24" s="178"/>
      <c r="B24" s="178"/>
      <c r="C24" s="178"/>
      <c r="D24" s="178"/>
      <c r="E24" s="178"/>
      <c r="F24" s="178"/>
      <c r="G24" s="178"/>
      <c r="H24" s="178"/>
      <c r="I24" s="178"/>
      <c r="J24" s="178"/>
      <c r="K24" s="178"/>
      <c r="L24" s="178"/>
    </row>
    <row r="25" spans="1:12" x14ac:dyDescent="0.2">
      <c r="E25" t="s">
        <v>0</v>
      </c>
    </row>
  </sheetData>
  <mergeCells count="4">
    <mergeCell ref="A14:L14"/>
    <mergeCell ref="A20:L20"/>
    <mergeCell ref="A21:L21"/>
    <mergeCell ref="A17:L17"/>
  </mergeCells>
  <phoneticPr fontId="5" type="noConversion"/>
  <printOptions horizontalCentered="1" verticalCentered="1"/>
  <pageMargins left="0.7" right="0.7" top="0.75" bottom="0.25" header="0.3" footer="0.3"/>
  <pageSetup paperSize="5" firstPageNumber="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1:N32"/>
  <sheetViews>
    <sheetView showGridLines="0" workbookViewId="0"/>
  </sheetViews>
  <sheetFormatPr defaultRowHeight="12.75" x14ac:dyDescent="0.2"/>
  <cols>
    <col min="7" max="7" width="17.28515625" customWidth="1"/>
  </cols>
  <sheetData>
    <row r="1" spans="3:14" ht="15" x14ac:dyDescent="0.2">
      <c r="C1" s="33" t="s">
        <v>60</v>
      </c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</row>
    <row r="2" spans="3:14" ht="15" x14ac:dyDescent="0.2">
      <c r="C2" s="33" t="s">
        <v>61</v>
      </c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</row>
    <row r="3" spans="3:14" ht="15" x14ac:dyDescent="0.2"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</row>
    <row r="4" spans="3:14" ht="15" x14ac:dyDescent="0.2">
      <c r="C4" s="33" t="s">
        <v>72</v>
      </c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</row>
    <row r="5" spans="3:14" ht="15" x14ac:dyDescent="0.2">
      <c r="C5" s="33" t="s">
        <v>62</v>
      </c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</row>
    <row r="6" spans="3:14" ht="15" x14ac:dyDescent="0.2">
      <c r="C6" s="33" t="s">
        <v>63</v>
      </c>
      <c r="D6" s="33"/>
      <c r="E6" s="33"/>
      <c r="F6" s="33"/>
      <c r="G6" s="33"/>
      <c r="H6" s="33" t="s">
        <v>64</v>
      </c>
      <c r="I6" s="33"/>
      <c r="J6" s="33"/>
      <c r="K6" s="33"/>
      <c r="L6" s="33"/>
      <c r="M6" s="33"/>
      <c r="N6" s="33"/>
    </row>
    <row r="7" spans="3:14" ht="15" x14ac:dyDescent="0.2"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</row>
    <row r="8" spans="3:14" ht="15" x14ac:dyDescent="0.2">
      <c r="C8" s="33" t="s">
        <v>65</v>
      </c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</row>
    <row r="9" spans="3:14" ht="16.5" customHeight="1" x14ac:dyDescent="0.2">
      <c r="C9" s="33" t="s">
        <v>66</v>
      </c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</row>
    <row r="10" spans="3:14" ht="15" x14ac:dyDescent="0.2"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</row>
    <row r="11" spans="3:14" ht="15" x14ac:dyDescent="0.2"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</row>
    <row r="12" spans="3:14" ht="15" x14ac:dyDescent="0.2"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33"/>
      <c r="N12" s="33"/>
    </row>
    <row r="13" spans="3:14" ht="15" x14ac:dyDescent="0.2"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</row>
    <row r="14" spans="3:14" ht="15" x14ac:dyDescent="0.2"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</row>
    <row r="15" spans="3:14" ht="15" x14ac:dyDescent="0.2">
      <c r="C15" s="34"/>
      <c r="D15" s="34"/>
      <c r="E15" s="34"/>
      <c r="F15" s="34"/>
      <c r="G15" s="33"/>
      <c r="H15" s="33"/>
      <c r="I15" s="34"/>
      <c r="J15" s="34"/>
      <c r="K15" s="34"/>
      <c r="L15" s="34"/>
      <c r="M15" s="33"/>
      <c r="N15" s="33"/>
    </row>
    <row r="16" spans="3:14" ht="15" x14ac:dyDescent="0.2">
      <c r="C16" s="35" t="s">
        <v>120</v>
      </c>
      <c r="D16" s="33"/>
      <c r="E16" s="33"/>
      <c r="F16" s="33"/>
      <c r="G16" s="33"/>
      <c r="H16" s="33"/>
      <c r="I16" s="33" t="s">
        <v>115</v>
      </c>
      <c r="J16" s="33"/>
      <c r="K16" s="33"/>
      <c r="L16" s="33"/>
      <c r="M16" s="33"/>
      <c r="N16" s="33"/>
    </row>
    <row r="17" spans="3:14" ht="15" x14ac:dyDescent="0.2">
      <c r="C17" s="35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</row>
    <row r="18" spans="3:14" ht="15" x14ac:dyDescent="0.2">
      <c r="C18" s="35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</row>
    <row r="19" spans="3:14" ht="15" x14ac:dyDescent="0.2"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</row>
    <row r="20" spans="3:14" ht="15" x14ac:dyDescent="0.2">
      <c r="C20" s="34"/>
      <c r="D20" s="34"/>
      <c r="E20" s="34"/>
      <c r="F20" s="34"/>
      <c r="G20" s="33"/>
      <c r="H20" s="33"/>
      <c r="I20" s="290" t="s">
        <v>207</v>
      </c>
      <c r="J20" s="34"/>
      <c r="K20" s="34"/>
      <c r="L20" s="34"/>
      <c r="M20" s="33"/>
      <c r="N20" s="33"/>
    </row>
    <row r="21" spans="3:14" ht="15" x14ac:dyDescent="0.2">
      <c r="C21" s="33" t="s">
        <v>157</v>
      </c>
      <c r="D21" s="33"/>
      <c r="E21" s="33"/>
      <c r="F21" s="33"/>
      <c r="G21" s="33"/>
      <c r="H21" s="33"/>
      <c r="I21" s="33" t="s">
        <v>98</v>
      </c>
      <c r="J21" s="33"/>
      <c r="K21" s="33"/>
      <c r="L21" s="33"/>
      <c r="M21" s="33"/>
      <c r="N21" s="33"/>
    </row>
    <row r="22" spans="3:14" ht="15" x14ac:dyDescent="0.2"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</row>
    <row r="23" spans="3:14" ht="15" x14ac:dyDescent="0.2"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</row>
    <row r="24" spans="3:14" ht="15" x14ac:dyDescent="0.2"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</row>
    <row r="25" spans="3:14" ht="15" x14ac:dyDescent="0.2"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</row>
    <row r="26" spans="3:14" ht="15" x14ac:dyDescent="0.2">
      <c r="C26" s="34"/>
      <c r="D26" s="34"/>
      <c r="E26" s="34"/>
      <c r="F26" s="34"/>
      <c r="G26" s="33"/>
      <c r="H26" s="33"/>
      <c r="I26" s="34"/>
      <c r="J26" s="34"/>
      <c r="K26" s="34"/>
      <c r="L26" s="34"/>
      <c r="M26" s="33"/>
      <c r="N26" s="33"/>
    </row>
    <row r="27" spans="3:14" ht="15" x14ac:dyDescent="0.2">
      <c r="C27" s="33" t="s">
        <v>67</v>
      </c>
      <c r="D27" s="33"/>
      <c r="E27" s="33"/>
      <c r="F27" s="33"/>
      <c r="G27" s="33"/>
      <c r="H27" s="33"/>
      <c r="I27" s="33" t="s">
        <v>73</v>
      </c>
      <c r="J27" s="33"/>
      <c r="K27" s="33"/>
      <c r="L27" s="33"/>
      <c r="M27" s="33"/>
      <c r="N27" s="33"/>
    </row>
    <row r="28" spans="3:14" ht="15" x14ac:dyDescent="0.2"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</row>
    <row r="29" spans="3:14" ht="15" x14ac:dyDescent="0.2"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</row>
    <row r="30" spans="3:14" ht="15" x14ac:dyDescent="0.2">
      <c r="C30" s="33" t="s">
        <v>74</v>
      </c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</row>
    <row r="31" spans="3:14" ht="15" x14ac:dyDescent="0.2">
      <c r="C31" s="33" t="s">
        <v>75</v>
      </c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</row>
    <row r="32" spans="3:14" ht="15" x14ac:dyDescent="0.2"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</row>
  </sheetData>
  <phoneticPr fontId="5" type="noConversion"/>
  <pageMargins left="0.74791666666666667" right="0.74791666666666667" top="0.98402777777777772" bottom="0.98402777777777772" header="0.5" footer="0.51180555555555551"/>
  <pageSetup paperSize="5" firstPageNumber="0" orientation="landscape" r:id="rId1"/>
  <headerFooter alignWithMargins="0">
    <oddHeader>&amp;C&amp;A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173"/>
  <sheetViews>
    <sheetView showGridLines="0" topLeftCell="A4" workbookViewId="0">
      <pane xSplit="1" ySplit="7" topLeftCell="B23" activePane="bottomRight" state="frozen"/>
      <selection activeCell="A4" sqref="A4"/>
      <selection pane="topRight" activeCell="E4" sqref="E4"/>
      <selection pane="bottomLeft" activeCell="A10" sqref="A10"/>
      <selection pane="bottomRight" activeCell="A4" sqref="A4"/>
    </sheetView>
  </sheetViews>
  <sheetFormatPr defaultRowHeight="12.75" x14ac:dyDescent="0.2"/>
  <cols>
    <col min="1" max="1" width="25.7109375" customWidth="1"/>
    <col min="2" max="2" width="17.42578125" style="1" customWidth="1"/>
    <col min="3" max="3" width="14.5703125" style="1" customWidth="1"/>
    <col min="4" max="4" width="15.5703125" style="2" customWidth="1"/>
    <col min="5" max="5" width="15.28515625" style="1" customWidth="1"/>
    <col min="6" max="6" width="15.140625" style="1" bestFit="1" customWidth="1"/>
    <col min="7" max="7" width="2.42578125" style="3" customWidth="1"/>
    <col min="8" max="8" width="17" style="3" customWidth="1"/>
    <col min="9" max="9" width="14.7109375" style="3" customWidth="1"/>
    <col min="10" max="10" width="15.42578125" style="3" customWidth="1"/>
    <col min="11" max="11" width="14.7109375" style="3" customWidth="1"/>
    <col min="12" max="12" width="15.140625" style="3" customWidth="1"/>
    <col min="13" max="14" width="9.140625" customWidth="1"/>
    <col min="15" max="15" width="14" customWidth="1"/>
  </cols>
  <sheetData>
    <row r="1" spans="1:12" s="4" customFormat="1" x14ac:dyDescent="0.2">
      <c r="B1" s="5"/>
      <c r="C1" s="5"/>
      <c r="D1" s="6"/>
      <c r="E1" s="5"/>
      <c r="F1" s="5"/>
      <c r="G1" s="3"/>
      <c r="H1" s="7"/>
      <c r="I1" s="7"/>
      <c r="J1" s="7"/>
      <c r="K1" s="7"/>
      <c r="L1" s="7"/>
    </row>
    <row r="2" spans="1:12" s="4" customFormat="1" x14ac:dyDescent="0.2">
      <c r="B2" s="5"/>
      <c r="C2" s="5"/>
      <c r="D2" s="6"/>
      <c r="E2" s="5"/>
      <c r="F2" s="5"/>
      <c r="G2" s="3"/>
      <c r="H2" s="7"/>
      <c r="I2" s="7"/>
      <c r="J2" s="7"/>
      <c r="K2" s="7"/>
      <c r="L2" s="7"/>
    </row>
    <row r="3" spans="1:12" s="4" customFormat="1" x14ac:dyDescent="0.2">
      <c r="B3" s="5"/>
      <c r="C3" s="5"/>
      <c r="D3" s="6"/>
      <c r="E3" s="5"/>
      <c r="F3" s="5"/>
      <c r="G3" s="3"/>
      <c r="H3" s="7"/>
      <c r="I3" s="7"/>
      <c r="J3" s="7"/>
      <c r="K3" s="7"/>
      <c r="L3" s="7"/>
    </row>
    <row r="4" spans="1:12" s="4" customFormat="1" x14ac:dyDescent="0.2">
      <c r="B4" s="5"/>
      <c r="C4" s="5"/>
      <c r="D4" s="6"/>
      <c r="E4" s="5"/>
      <c r="F4" s="5"/>
      <c r="G4" s="8"/>
      <c r="H4" s="7" t="s">
        <v>0</v>
      </c>
      <c r="I4" s="7"/>
      <c r="J4" s="7"/>
      <c r="K4" s="7"/>
      <c r="L4" s="7"/>
    </row>
    <row r="5" spans="1:12" s="46" customFormat="1" ht="19.5" x14ac:dyDescent="0.3">
      <c r="B5" s="47"/>
      <c r="C5" s="47"/>
      <c r="D5" s="49" t="s">
        <v>82</v>
      </c>
      <c r="E5" s="47"/>
      <c r="F5" s="47"/>
      <c r="G5" s="48"/>
      <c r="H5" s="47"/>
      <c r="I5" s="47"/>
      <c r="J5" s="49" t="s">
        <v>82</v>
      </c>
      <c r="K5" s="47"/>
      <c r="L5" s="47"/>
    </row>
    <row r="6" spans="1:12" x14ac:dyDescent="0.2">
      <c r="B6" s="3"/>
      <c r="C6" s="3"/>
      <c r="D6" s="10">
        <v>45565</v>
      </c>
      <c r="E6" s="3"/>
      <c r="F6" s="3"/>
      <c r="G6" s="9"/>
      <c r="J6" s="10">
        <v>45657</v>
      </c>
    </row>
    <row r="7" spans="1:12" x14ac:dyDescent="0.2">
      <c r="B7" s="11" t="s">
        <v>97</v>
      </c>
      <c r="C7" s="3"/>
      <c r="D7" s="11" t="s">
        <v>148</v>
      </c>
      <c r="E7" s="3"/>
      <c r="F7" s="3"/>
      <c r="G7" s="9"/>
      <c r="H7" s="11" t="s">
        <v>97</v>
      </c>
      <c r="J7" s="11" t="s">
        <v>148</v>
      </c>
    </row>
    <row r="8" spans="1:12" x14ac:dyDescent="0.2">
      <c r="B8" s="154" t="s">
        <v>175</v>
      </c>
      <c r="C8" s="11" t="s">
        <v>1</v>
      </c>
      <c r="D8" s="11" t="s">
        <v>146</v>
      </c>
      <c r="E8" s="11" t="s">
        <v>110</v>
      </c>
      <c r="F8" s="3"/>
      <c r="G8" s="9"/>
      <c r="H8" s="154" t="s">
        <v>175</v>
      </c>
      <c r="I8" s="11" t="s">
        <v>1</v>
      </c>
      <c r="J8" s="11" t="s">
        <v>146</v>
      </c>
      <c r="K8" s="11" t="s">
        <v>110</v>
      </c>
    </row>
    <row r="9" spans="1:12" x14ac:dyDescent="0.2">
      <c r="B9" s="179" t="s">
        <v>174</v>
      </c>
      <c r="C9" s="179" t="s">
        <v>2</v>
      </c>
      <c r="D9" s="58" t="s">
        <v>147</v>
      </c>
      <c r="E9" s="179" t="s">
        <v>3</v>
      </c>
      <c r="F9" s="179" t="s">
        <v>4</v>
      </c>
      <c r="G9" s="9"/>
      <c r="H9" s="11" t="s">
        <v>174</v>
      </c>
      <c r="I9" s="11" t="s">
        <v>2</v>
      </c>
      <c r="J9" t="s">
        <v>147</v>
      </c>
      <c r="K9" s="11" t="s">
        <v>3</v>
      </c>
      <c r="L9" s="11" t="s">
        <v>4</v>
      </c>
    </row>
    <row r="10" spans="1:12" s="13" customFormat="1" x14ac:dyDescent="0.2">
      <c r="A10"/>
      <c r="B10" s="182" t="s">
        <v>187</v>
      </c>
      <c r="C10" s="180" t="s">
        <v>0</v>
      </c>
      <c r="D10" s="181" t="s">
        <v>0</v>
      </c>
      <c r="E10" s="180" t="s">
        <v>0</v>
      </c>
      <c r="F10" s="180" t="s">
        <v>0</v>
      </c>
      <c r="G10" s="9"/>
      <c r="H10" s="82" t="s">
        <v>187</v>
      </c>
      <c r="I10" s="12" t="s">
        <v>0</v>
      </c>
      <c r="J10" s="13" t="s">
        <v>0</v>
      </c>
      <c r="K10" s="12" t="s">
        <v>0</v>
      </c>
      <c r="L10" s="12" t="s">
        <v>0</v>
      </c>
    </row>
    <row r="11" spans="1:12" s="14" customFormat="1" x14ac:dyDescent="0.2">
      <c r="A11" s="140" t="s">
        <v>5</v>
      </c>
      <c r="B11" s="141">
        <v>19002313.300000001</v>
      </c>
      <c r="C11" s="142">
        <f>249000+238000+249839.13+243845.64+249886.44+243746.01+244453.14+245510.36+245009.61+244871.1+246359.48</f>
        <v>2700520.9099999997</v>
      </c>
      <c r="D11" s="143">
        <f>945845.58+990006.02+2000000</f>
        <v>3935851.6</v>
      </c>
      <c r="E11" s="143">
        <v>10000000</v>
      </c>
      <c r="F11" s="143">
        <f t="shared" ref="F11:F25" si="0">SUM(B11:E11)</f>
        <v>35638685.810000002</v>
      </c>
      <c r="G11" s="16">
        <f>SUM(C11:F11)</f>
        <v>52275058.32</v>
      </c>
      <c r="H11" s="141">
        <f>6455325.1+25500800+15838.11+24012.72+368.12+5257294.44</f>
        <v>37253638.490000002</v>
      </c>
      <c r="I11" s="142">
        <f>249000+238000+249465.63+243488.43+249468.12+243434.97+243996.3+244936.96+244292.76+244183.41+245334.68</f>
        <v>2695601.2600000002</v>
      </c>
      <c r="J11" s="143">
        <f>991073.88+2000000</f>
        <v>2991073.88</v>
      </c>
      <c r="K11" s="143">
        <v>10356673.970000001</v>
      </c>
      <c r="L11" s="143">
        <f t="shared" ref="L11:L25" si="1">SUM(H11:K11)</f>
        <v>53296987.600000001</v>
      </c>
    </row>
    <row r="12" spans="1:12" s="14" customFormat="1" x14ac:dyDescent="0.2">
      <c r="A12" s="14" t="s">
        <v>114</v>
      </c>
      <c r="B12" s="45">
        <v>12913624.48</v>
      </c>
      <c r="C12" s="50"/>
      <c r="D12" s="15"/>
      <c r="E12" s="15"/>
      <c r="F12" s="15">
        <f t="shared" si="0"/>
        <v>12913624.48</v>
      </c>
      <c r="G12" s="16"/>
      <c r="H12" s="45">
        <f>2642557.2+8144669.43</f>
        <v>10787226.629999999</v>
      </c>
      <c r="I12" s="50"/>
      <c r="J12" s="15"/>
      <c r="K12" s="15"/>
      <c r="L12" s="15">
        <f t="shared" si="1"/>
        <v>10787226.629999999</v>
      </c>
    </row>
    <row r="13" spans="1:12" s="14" customFormat="1" x14ac:dyDescent="0.2">
      <c r="A13" s="140" t="s">
        <v>6</v>
      </c>
      <c r="B13" s="143">
        <v>6212.73</v>
      </c>
      <c r="C13" s="144"/>
      <c r="D13" s="143"/>
      <c r="E13" s="143"/>
      <c r="F13" s="143">
        <f t="shared" si="0"/>
        <v>6212.73</v>
      </c>
      <c r="G13" s="16">
        <f>SUM(C13:F13)</f>
        <v>6212.73</v>
      </c>
      <c r="H13" s="143">
        <v>6256.32</v>
      </c>
      <c r="I13" s="144"/>
      <c r="J13" s="143"/>
      <c r="K13" s="143"/>
      <c r="L13" s="143">
        <f t="shared" si="1"/>
        <v>6256.32</v>
      </c>
    </row>
    <row r="14" spans="1:12" s="14" customFormat="1" x14ac:dyDescent="0.2">
      <c r="A14" s="14" t="s">
        <v>71</v>
      </c>
      <c r="B14" s="15">
        <v>5260</v>
      </c>
      <c r="C14" s="51"/>
      <c r="D14" s="15"/>
      <c r="E14" s="15"/>
      <c r="F14" s="15">
        <f t="shared" si="0"/>
        <v>5260</v>
      </c>
      <c r="G14" s="16"/>
      <c r="H14" s="15">
        <v>5296.91</v>
      </c>
      <c r="I14" s="51"/>
      <c r="J14" s="15"/>
      <c r="K14" s="15"/>
      <c r="L14" s="15">
        <f t="shared" si="1"/>
        <v>5296.91</v>
      </c>
    </row>
    <row r="15" spans="1:12" s="14" customFormat="1" x14ac:dyDescent="0.2">
      <c r="A15" s="140" t="s">
        <v>105</v>
      </c>
      <c r="B15" s="143">
        <v>5061953.03</v>
      </c>
      <c r="C15" s="144" t="s">
        <v>0</v>
      </c>
      <c r="D15" s="143" t="s">
        <v>0</v>
      </c>
      <c r="E15" s="143"/>
      <c r="F15" s="143">
        <f t="shared" si="0"/>
        <v>5061953.03</v>
      </c>
      <c r="G15" s="16"/>
      <c r="H15" s="143">
        <v>3094917.71</v>
      </c>
      <c r="I15" s="144" t="s">
        <v>0</v>
      </c>
      <c r="J15" s="143" t="s">
        <v>0</v>
      </c>
      <c r="K15" s="143"/>
      <c r="L15" s="143">
        <f t="shared" si="1"/>
        <v>3094917.71</v>
      </c>
    </row>
    <row r="16" spans="1:12" s="14" customFormat="1" x14ac:dyDescent="0.2">
      <c r="A16" s="14" t="s">
        <v>7</v>
      </c>
      <c r="B16" s="15">
        <v>572925.28</v>
      </c>
      <c r="D16" s="17"/>
      <c r="E16" s="15">
        <v>1500000</v>
      </c>
      <c r="F16" s="15">
        <f t="shared" si="0"/>
        <v>2072925.28</v>
      </c>
      <c r="G16" s="16">
        <f t="shared" ref="G16:G26" si="2">SUM(C16:F16)</f>
        <v>3572925.2800000003</v>
      </c>
      <c r="H16" s="15">
        <f>62507.69+9302.75+442178.38</f>
        <v>513988.82</v>
      </c>
      <c r="J16" s="17"/>
      <c r="K16" s="15">
        <v>1553501.1</v>
      </c>
      <c r="L16" s="15">
        <f t="shared" si="1"/>
        <v>2067489.9200000002</v>
      </c>
    </row>
    <row r="17" spans="1:15" s="14" customFormat="1" x14ac:dyDescent="0.2">
      <c r="A17" s="140" t="s">
        <v>8</v>
      </c>
      <c r="B17" s="143">
        <v>2473231.27</v>
      </c>
      <c r="C17" s="140"/>
      <c r="D17" s="143"/>
      <c r="E17" s="143">
        <v>1000000</v>
      </c>
      <c r="F17" s="143">
        <f t="shared" si="0"/>
        <v>3473231.27</v>
      </c>
      <c r="G17" s="16">
        <f t="shared" si="2"/>
        <v>4473231.2699999996</v>
      </c>
      <c r="H17" s="143">
        <f>2650092.06+4865.42</f>
        <v>2654957.48</v>
      </c>
      <c r="I17" s="140"/>
      <c r="J17" s="143"/>
      <c r="K17" s="143">
        <v>1035667.4</v>
      </c>
      <c r="L17" s="143">
        <f t="shared" si="1"/>
        <v>3690624.88</v>
      </c>
    </row>
    <row r="18" spans="1:15" s="14" customFormat="1" x14ac:dyDescent="0.2">
      <c r="A18" s="14" t="s">
        <v>9</v>
      </c>
      <c r="B18" s="15">
        <v>2619439.2000000002</v>
      </c>
      <c r="D18" s="15"/>
      <c r="E18" s="15"/>
      <c r="F18" s="15">
        <f t="shared" si="0"/>
        <v>2619439.2000000002</v>
      </c>
      <c r="G18" s="16">
        <f t="shared" si="2"/>
        <v>2619439.2000000002</v>
      </c>
      <c r="H18" s="15">
        <v>1467123.9</v>
      </c>
      <c r="J18" s="15"/>
      <c r="K18" s="15"/>
      <c r="L18" s="15">
        <f t="shared" si="1"/>
        <v>1467123.9</v>
      </c>
    </row>
    <row r="19" spans="1:15" s="14" customFormat="1" x14ac:dyDescent="0.2">
      <c r="A19" s="140" t="s">
        <v>10</v>
      </c>
      <c r="B19" s="143">
        <v>77099.839999999997</v>
      </c>
      <c r="C19" s="140"/>
      <c r="D19" s="145"/>
      <c r="E19" s="143"/>
      <c r="F19" s="143">
        <f t="shared" si="0"/>
        <v>77099.839999999997</v>
      </c>
      <c r="G19" s="16">
        <f t="shared" si="2"/>
        <v>77099.839999999997</v>
      </c>
      <c r="H19" s="143">
        <v>78250.429999999993</v>
      </c>
      <c r="I19" s="140"/>
      <c r="J19" s="145"/>
      <c r="K19" s="143"/>
      <c r="L19" s="143">
        <f t="shared" si="1"/>
        <v>78250.429999999993</v>
      </c>
    </row>
    <row r="20" spans="1:15" s="14" customFormat="1" x14ac:dyDescent="0.2">
      <c r="A20" s="14" t="s">
        <v>188</v>
      </c>
      <c r="B20" s="15">
        <v>1785819.6</v>
      </c>
      <c r="D20" s="18"/>
      <c r="E20" s="15"/>
      <c r="F20" s="15">
        <f t="shared" si="0"/>
        <v>1785819.6</v>
      </c>
      <c r="G20" s="16">
        <f t="shared" si="2"/>
        <v>1785819.6</v>
      </c>
      <c r="H20" s="15">
        <v>1905509.42</v>
      </c>
      <c r="J20" s="18"/>
      <c r="K20" s="15"/>
      <c r="L20" s="15">
        <f t="shared" si="1"/>
        <v>1905509.42</v>
      </c>
    </row>
    <row r="21" spans="1:15" s="14" customFormat="1" x14ac:dyDescent="0.2">
      <c r="A21" s="140" t="s">
        <v>11</v>
      </c>
      <c r="B21" s="143">
        <v>141141.18</v>
      </c>
      <c r="C21" s="140"/>
      <c r="D21" s="143"/>
      <c r="E21" s="143"/>
      <c r="F21" s="143">
        <f t="shared" si="0"/>
        <v>141141.18</v>
      </c>
      <c r="G21" s="16">
        <f t="shared" si="2"/>
        <v>141141.18</v>
      </c>
      <c r="H21" s="143">
        <v>61259.29</v>
      </c>
      <c r="I21" s="140"/>
      <c r="J21" s="143"/>
      <c r="K21" s="143"/>
      <c r="L21" s="143">
        <f t="shared" si="1"/>
        <v>61259.29</v>
      </c>
    </row>
    <row r="22" spans="1:15" s="14" customFormat="1" x14ac:dyDescent="0.2">
      <c r="A22" s="14" t="s">
        <v>12</v>
      </c>
      <c r="B22" s="15">
        <v>623368.31000000006</v>
      </c>
      <c r="D22" s="15"/>
      <c r="E22" s="15"/>
      <c r="F22" s="15">
        <f t="shared" si="0"/>
        <v>623368.31000000006</v>
      </c>
      <c r="G22" s="16">
        <f t="shared" si="2"/>
        <v>623368.31000000006</v>
      </c>
      <c r="H22" s="15">
        <v>1473218.38</v>
      </c>
      <c r="J22" s="15"/>
      <c r="K22" s="15"/>
      <c r="L22" s="15">
        <f t="shared" si="1"/>
        <v>1473218.38</v>
      </c>
    </row>
    <row r="23" spans="1:15" s="14" customFormat="1" x14ac:dyDescent="0.2">
      <c r="A23" s="140" t="s">
        <v>84</v>
      </c>
      <c r="B23" s="143">
        <v>1097783.79</v>
      </c>
      <c r="C23" s="140"/>
      <c r="D23" s="143"/>
      <c r="E23" s="143"/>
      <c r="F23" s="143">
        <f t="shared" si="0"/>
        <v>1097783.79</v>
      </c>
      <c r="G23" s="16">
        <f t="shared" si="2"/>
        <v>1097783.79</v>
      </c>
      <c r="H23" s="143">
        <v>1105621.54</v>
      </c>
      <c r="I23" s="140"/>
      <c r="J23" s="143"/>
      <c r="K23" s="143"/>
      <c r="L23" s="143">
        <f t="shared" si="1"/>
        <v>1105621.54</v>
      </c>
    </row>
    <row r="24" spans="1:15" s="14" customFormat="1" x14ac:dyDescent="0.2">
      <c r="A24" s="14" t="s">
        <v>13</v>
      </c>
      <c r="B24" s="15">
        <v>2372263.1</v>
      </c>
      <c r="D24" s="15"/>
      <c r="E24" s="15"/>
      <c r="F24" s="15">
        <f t="shared" si="0"/>
        <v>2372263.1</v>
      </c>
      <c r="G24" s="16">
        <f t="shared" si="2"/>
        <v>2372263.1</v>
      </c>
      <c r="H24" s="15">
        <v>3496061.79</v>
      </c>
      <c r="J24" s="15"/>
      <c r="K24" s="15"/>
      <c r="L24" s="15">
        <f t="shared" si="1"/>
        <v>3496061.79</v>
      </c>
    </row>
    <row r="25" spans="1:15" s="14" customFormat="1" x14ac:dyDescent="0.2">
      <c r="A25" s="140" t="s">
        <v>14</v>
      </c>
      <c r="B25" s="143">
        <v>11028444.65</v>
      </c>
      <c r="C25" s="140"/>
      <c r="D25" s="143"/>
      <c r="E25" s="143"/>
      <c r="F25" s="143">
        <f t="shared" si="0"/>
        <v>11028444.65</v>
      </c>
      <c r="G25" s="16">
        <f t="shared" si="2"/>
        <v>11028444.65</v>
      </c>
      <c r="H25" s="143">
        <v>17273867.379999999</v>
      </c>
      <c r="I25" s="140"/>
      <c r="J25" s="143"/>
      <c r="K25" s="143"/>
      <c r="L25" s="143">
        <f t="shared" si="1"/>
        <v>17273867.379999999</v>
      </c>
    </row>
    <row r="26" spans="1:15" x14ac:dyDescent="0.2">
      <c r="B26" s="19"/>
      <c r="C26"/>
      <c r="D26" s="19"/>
      <c r="E26" s="3"/>
      <c r="F26"/>
      <c r="G26" s="16">
        <f t="shared" si="2"/>
        <v>0</v>
      </c>
      <c r="H26" s="19"/>
      <c r="I26"/>
      <c r="J26" s="19"/>
      <c r="L26"/>
    </row>
    <row r="27" spans="1:15" s="14" customFormat="1" x14ac:dyDescent="0.2">
      <c r="A27" s="22" t="s">
        <v>4</v>
      </c>
      <c r="B27" s="146">
        <f>SUM(B11:B26)</f>
        <v>59780879.760000013</v>
      </c>
      <c r="C27" s="147">
        <f>SUM(C11:C26)</f>
        <v>2700520.9099999997</v>
      </c>
      <c r="D27" s="146">
        <f>SUM(D11:D26)</f>
        <v>3935851.6</v>
      </c>
      <c r="E27" s="148">
        <f>SUM(E11:E26)</f>
        <v>12500000</v>
      </c>
      <c r="F27" s="149">
        <f>SUM(F11:F26)</f>
        <v>78917252.270000026</v>
      </c>
      <c r="G27" s="150">
        <f t="shared" ref="G27" si="3">SUM(G11:G26)</f>
        <v>80072787.270000011</v>
      </c>
      <c r="H27" s="146">
        <f>SUM(H11:H26)</f>
        <v>81177194.489999995</v>
      </c>
      <c r="I27" s="147">
        <f>SUM(I11:I26)</f>
        <v>2695601.2600000002</v>
      </c>
      <c r="J27" s="146">
        <f>SUM(J11:J26)</f>
        <v>2991073.88</v>
      </c>
      <c r="K27" s="148">
        <f>SUM(K11:K26)</f>
        <v>12945842.470000001</v>
      </c>
      <c r="L27" s="149">
        <f>SUM(L11:L26)</f>
        <v>99809712.100000024</v>
      </c>
      <c r="M27" s="81"/>
    </row>
    <row r="28" spans="1:15" x14ac:dyDescent="0.2">
      <c r="B28" s="3"/>
      <c r="C28" s="3"/>
      <c r="D28" s="3"/>
      <c r="E28" s="3"/>
      <c r="F28" s="3"/>
      <c r="G28" s="9"/>
    </row>
    <row r="29" spans="1:15" x14ac:dyDescent="0.2">
      <c r="A29" t="s">
        <v>15</v>
      </c>
      <c r="B29" s="3"/>
      <c r="C29" s="3"/>
      <c r="D29" s="3"/>
      <c r="E29" s="3"/>
      <c r="F29" s="3" t="s">
        <v>0</v>
      </c>
      <c r="G29" s="9"/>
      <c r="H29" s="3">
        <f>SUM(H27-B27)</f>
        <v>21396314.729999982</v>
      </c>
      <c r="I29" s="3">
        <f>SUM(I27-C27)</f>
        <v>-4919.6499999994412</v>
      </c>
      <c r="J29" s="3">
        <f>SUM(J27-D27)</f>
        <v>-944777.7200000002</v>
      </c>
      <c r="K29" s="3">
        <f>SUM(K27-E27)</f>
        <v>445842.47000000067</v>
      </c>
      <c r="L29" s="3">
        <f>SUM(H29:K29)</f>
        <v>20892459.829999983</v>
      </c>
    </row>
    <row r="30" spans="1:15" x14ac:dyDescent="0.2">
      <c r="B30" s="3"/>
      <c r="C30" s="19"/>
      <c r="D30" s="3"/>
      <c r="E30" s="3"/>
      <c r="F30" s="3"/>
      <c r="G30" s="9"/>
      <c r="L30"/>
      <c r="O30" s="153"/>
    </row>
    <row r="31" spans="1:15" x14ac:dyDescent="0.2">
      <c r="B31" s="3"/>
      <c r="C31" s="3"/>
      <c r="D31" s="3"/>
      <c r="E31" s="3"/>
      <c r="F31" s="3"/>
      <c r="G31" s="20"/>
    </row>
    <row r="32" spans="1:15" x14ac:dyDescent="0.2">
      <c r="B32" s="3"/>
      <c r="C32" s="3"/>
      <c r="D32" s="3"/>
      <c r="E32" s="3"/>
      <c r="F32" s="3"/>
      <c r="G32" s="20"/>
    </row>
    <row r="33" spans="2:12" x14ac:dyDescent="0.2">
      <c r="B33" s="3"/>
      <c r="C33" s="3"/>
      <c r="D33" s="3"/>
      <c r="E33" s="3"/>
      <c r="F33" s="3"/>
      <c r="G33" s="20"/>
    </row>
    <row r="34" spans="2:12" x14ac:dyDescent="0.2">
      <c r="B34" s="3"/>
      <c r="C34" s="3"/>
      <c r="D34" s="3"/>
      <c r="E34" s="3"/>
      <c r="F34" s="3"/>
      <c r="G34" s="20"/>
      <c r="K34" s="3" t="s">
        <v>81</v>
      </c>
    </row>
    <row r="35" spans="2:12" x14ac:dyDescent="0.2">
      <c r="B35" s="3"/>
      <c r="C35" s="3"/>
      <c r="D35" s="3"/>
      <c r="E35" s="3" t="s">
        <v>101</v>
      </c>
      <c r="F35" s="3"/>
      <c r="G35" s="20"/>
      <c r="K35" s="3" t="s">
        <v>102</v>
      </c>
    </row>
    <row r="36" spans="2:12" x14ac:dyDescent="0.2">
      <c r="B36" s="3"/>
      <c r="C36" s="3"/>
      <c r="D36" s="3"/>
      <c r="E36" s="3" t="s">
        <v>176</v>
      </c>
      <c r="F36" s="3"/>
      <c r="G36" s="20"/>
      <c r="K36" s="3" t="s">
        <v>177</v>
      </c>
    </row>
    <row r="37" spans="2:12" x14ac:dyDescent="0.2">
      <c r="B37" s="3"/>
      <c r="C37" s="3"/>
      <c r="D37" s="3"/>
      <c r="E37" s="3" t="s">
        <v>79</v>
      </c>
      <c r="F37" s="3"/>
      <c r="G37" s="20"/>
      <c r="K37" s="3" t="s">
        <v>77</v>
      </c>
    </row>
    <row r="38" spans="2:12" x14ac:dyDescent="0.2">
      <c r="B38" s="3"/>
      <c r="C38" s="3"/>
      <c r="D38" s="3"/>
      <c r="E38" s="3" t="s">
        <v>80</v>
      </c>
      <c r="F38" s="3"/>
      <c r="G38" s="20"/>
      <c r="K38" s="3" t="s">
        <v>78</v>
      </c>
    </row>
    <row r="39" spans="2:12" x14ac:dyDescent="0.2">
      <c r="B39" s="3"/>
      <c r="C39" s="3"/>
      <c r="D39" s="3"/>
      <c r="E39" s="3"/>
      <c r="F39" s="3"/>
      <c r="G39" s="20"/>
    </row>
    <row r="40" spans="2:12" x14ac:dyDescent="0.2">
      <c r="B40" s="3"/>
      <c r="C40" s="3"/>
      <c r="D40" s="3"/>
      <c r="E40" s="3"/>
      <c r="F40" s="3"/>
      <c r="G40" s="20"/>
    </row>
    <row r="41" spans="2:12" x14ac:dyDescent="0.2">
      <c r="B41" s="3"/>
      <c r="C41" s="3"/>
      <c r="D41" s="3"/>
      <c r="E41" s="3"/>
      <c r="F41" s="3"/>
      <c r="G41" s="20"/>
    </row>
    <row r="42" spans="2:12" x14ac:dyDescent="0.2">
      <c r="B42" s="3"/>
      <c r="C42" s="3"/>
      <c r="D42" s="3"/>
      <c r="E42" s="3"/>
      <c r="F42" s="3"/>
      <c r="G42" s="20"/>
      <c r="L42" s="3" t="s">
        <v>0</v>
      </c>
    </row>
    <row r="43" spans="2:12" x14ac:dyDescent="0.2">
      <c r="B43" s="3"/>
      <c r="C43" s="3"/>
      <c r="D43" s="3"/>
      <c r="E43" s="3"/>
      <c r="F43" s="3"/>
      <c r="L43"/>
    </row>
    <row r="44" spans="2:12" x14ac:dyDescent="0.2">
      <c r="B44" s="3"/>
      <c r="C44" s="3"/>
      <c r="D44" s="3"/>
      <c r="E44" s="3"/>
      <c r="F44" s="3"/>
      <c r="K44"/>
      <c r="L44"/>
    </row>
    <row r="45" spans="2:12" x14ac:dyDescent="0.2">
      <c r="B45" s="3"/>
      <c r="C45" s="3"/>
      <c r="D45" s="3"/>
      <c r="E45" s="3"/>
      <c r="F45" s="3"/>
      <c r="L45"/>
    </row>
    <row r="46" spans="2:12" x14ac:dyDescent="0.2">
      <c r="B46" s="3"/>
      <c r="C46" s="3"/>
      <c r="D46" s="3"/>
      <c r="E46" s="3"/>
      <c r="F46" s="3"/>
    </row>
    <row r="47" spans="2:12" x14ac:dyDescent="0.2">
      <c r="B47" s="3"/>
      <c r="C47" s="3"/>
      <c r="D47" s="3"/>
      <c r="E47" s="3"/>
      <c r="F47" s="3"/>
    </row>
    <row r="48" spans="2:12" x14ac:dyDescent="0.2">
      <c r="F48" s="3"/>
    </row>
    <row r="79" spans="7:7" x14ac:dyDescent="0.2">
      <c r="G79"/>
    </row>
    <row r="80" spans="7:7" x14ac:dyDescent="0.2">
      <c r="G80"/>
    </row>
    <row r="81" spans="7:7" x14ac:dyDescent="0.2">
      <c r="G81"/>
    </row>
    <row r="82" spans="7:7" x14ac:dyDescent="0.2">
      <c r="G82"/>
    </row>
    <row r="83" spans="7:7" x14ac:dyDescent="0.2">
      <c r="G83"/>
    </row>
    <row r="84" spans="7:7" x14ac:dyDescent="0.2">
      <c r="G84"/>
    </row>
    <row r="85" spans="7:7" x14ac:dyDescent="0.2">
      <c r="G85"/>
    </row>
    <row r="86" spans="7:7" x14ac:dyDescent="0.2">
      <c r="G86"/>
    </row>
    <row r="87" spans="7:7" x14ac:dyDescent="0.2">
      <c r="G87"/>
    </row>
    <row r="88" spans="7:7" x14ac:dyDescent="0.2">
      <c r="G88"/>
    </row>
    <row r="89" spans="7:7" x14ac:dyDescent="0.2">
      <c r="G89"/>
    </row>
    <row r="90" spans="7:7" x14ac:dyDescent="0.2">
      <c r="G90"/>
    </row>
    <row r="91" spans="7:7" x14ac:dyDescent="0.2">
      <c r="G91"/>
    </row>
    <row r="92" spans="7:7" x14ac:dyDescent="0.2">
      <c r="G92"/>
    </row>
    <row r="93" spans="7:7" x14ac:dyDescent="0.2">
      <c r="G93"/>
    </row>
    <row r="94" spans="7:7" x14ac:dyDescent="0.2">
      <c r="G94"/>
    </row>
    <row r="95" spans="7:7" x14ac:dyDescent="0.2">
      <c r="G95"/>
    </row>
    <row r="96" spans="7:7" x14ac:dyDescent="0.2">
      <c r="G96"/>
    </row>
    <row r="97" spans="7:7" x14ac:dyDescent="0.2">
      <c r="G97"/>
    </row>
    <row r="98" spans="7:7" x14ac:dyDescent="0.2">
      <c r="G98"/>
    </row>
    <row r="99" spans="7:7" x14ac:dyDescent="0.2">
      <c r="G99"/>
    </row>
    <row r="100" spans="7:7" x14ac:dyDescent="0.2">
      <c r="G100"/>
    </row>
    <row r="101" spans="7:7" x14ac:dyDescent="0.2">
      <c r="G101"/>
    </row>
    <row r="102" spans="7:7" x14ac:dyDescent="0.2">
      <c r="G102"/>
    </row>
    <row r="103" spans="7:7" x14ac:dyDescent="0.2">
      <c r="G103"/>
    </row>
    <row r="104" spans="7:7" x14ac:dyDescent="0.2">
      <c r="G104"/>
    </row>
    <row r="105" spans="7:7" x14ac:dyDescent="0.2">
      <c r="G105"/>
    </row>
    <row r="106" spans="7:7" x14ac:dyDescent="0.2">
      <c r="G106"/>
    </row>
    <row r="107" spans="7:7" x14ac:dyDescent="0.2">
      <c r="G107"/>
    </row>
    <row r="108" spans="7:7" x14ac:dyDescent="0.2">
      <c r="G108"/>
    </row>
    <row r="109" spans="7:7" x14ac:dyDescent="0.2">
      <c r="G109"/>
    </row>
    <row r="110" spans="7:7" x14ac:dyDescent="0.2">
      <c r="G110"/>
    </row>
    <row r="111" spans="7:7" x14ac:dyDescent="0.2">
      <c r="G111"/>
    </row>
    <row r="112" spans="7:7" x14ac:dyDescent="0.2">
      <c r="G112"/>
    </row>
    <row r="113" spans="7:7" x14ac:dyDescent="0.2">
      <c r="G113"/>
    </row>
    <row r="114" spans="7:7" x14ac:dyDescent="0.2">
      <c r="G114"/>
    </row>
    <row r="115" spans="7:7" x14ac:dyDescent="0.2">
      <c r="G115"/>
    </row>
    <row r="116" spans="7:7" x14ac:dyDescent="0.2">
      <c r="G116"/>
    </row>
    <row r="117" spans="7:7" x14ac:dyDescent="0.2">
      <c r="G117"/>
    </row>
    <row r="118" spans="7:7" x14ac:dyDescent="0.2">
      <c r="G118"/>
    </row>
    <row r="119" spans="7:7" x14ac:dyDescent="0.2">
      <c r="G119"/>
    </row>
    <row r="120" spans="7:7" x14ac:dyDescent="0.2">
      <c r="G120"/>
    </row>
    <row r="121" spans="7:7" x14ac:dyDescent="0.2">
      <c r="G121"/>
    </row>
    <row r="122" spans="7:7" x14ac:dyDescent="0.2">
      <c r="G122"/>
    </row>
    <row r="123" spans="7:7" x14ac:dyDescent="0.2">
      <c r="G123"/>
    </row>
    <row r="124" spans="7:7" x14ac:dyDescent="0.2">
      <c r="G124"/>
    </row>
    <row r="125" spans="7:7" x14ac:dyDescent="0.2">
      <c r="G125"/>
    </row>
    <row r="126" spans="7:7" x14ac:dyDescent="0.2">
      <c r="G126"/>
    </row>
    <row r="127" spans="7:7" x14ac:dyDescent="0.2">
      <c r="G127"/>
    </row>
    <row r="128" spans="7:7" x14ac:dyDescent="0.2">
      <c r="G128"/>
    </row>
    <row r="129" spans="7:7" x14ac:dyDescent="0.2">
      <c r="G129"/>
    </row>
    <row r="130" spans="7:7" x14ac:dyDescent="0.2">
      <c r="G130"/>
    </row>
    <row r="131" spans="7:7" x14ac:dyDescent="0.2">
      <c r="G131"/>
    </row>
    <row r="132" spans="7:7" x14ac:dyDescent="0.2">
      <c r="G132"/>
    </row>
    <row r="133" spans="7:7" x14ac:dyDescent="0.2">
      <c r="G133"/>
    </row>
    <row r="134" spans="7:7" x14ac:dyDescent="0.2">
      <c r="G134"/>
    </row>
    <row r="135" spans="7:7" x14ac:dyDescent="0.2">
      <c r="G135"/>
    </row>
    <row r="136" spans="7:7" x14ac:dyDescent="0.2">
      <c r="G136"/>
    </row>
    <row r="137" spans="7:7" x14ac:dyDescent="0.2">
      <c r="G137"/>
    </row>
    <row r="138" spans="7:7" x14ac:dyDescent="0.2">
      <c r="G138"/>
    </row>
    <row r="139" spans="7:7" x14ac:dyDescent="0.2">
      <c r="G139"/>
    </row>
    <row r="140" spans="7:7" x14ac:dyDescent="0.2">
      <c r="G140"/>
    </row>
    <row r="141" spans="7:7" x14ac:dyDescent="0.2">
      <c r="G141"/>
    </row>
    <row r="142" spans="7:7" x14ac:dyDescent="0.2">
      <c r="G142"/>
    </row>
    <row r="143" spans="7:7" x14ac:dyDescent="0.2">
      <c r="G143"/>
    </row>
    <row r="144" spans="7:7" x14ac:dyDescent="0.2">
      <c r="G144"/>
    </row>
    <row r="145" spans="7:7" x14ac:dyDescent="0.2">
      <c r="G145"/>
    </row>
    <row r="146" spans="7:7" x14ac:dyDescent="0.2">
      <c r="G146"/>
    </row>
    <row r="147" spans="7:7" x14ac:dyDescent="0.2">
      <c r="G147"/>
    </row>
    <row r="148" spans="7:7" x14ac:dyDescent="0.2">
      <c r="G148"/>
    </row>
    <row r="149" spans="7:7" x14ac:dyDescent="0.2">
      <c r="G149"/>
    </row>
    <row r="150" spans="7:7" x14ac:dyDescent="0.2">
      <c r="G150"/>
    </row>
    <row r="151" spans="7:7" x14ac:dyDescent="0.2">
      <c r="G151"/>
    </row>
    <row r="152" spans="7:7" x14ac:dyDescent="0.2">
      <c r="G152"/>
    </row>
    <row r="153" spans="7:7" x14ac:dyDescent="0.2">
      <c r="G153"/>
    </row>
    <row r="154" spans="7:7" x14ac:dyDescent="0.2">
      <c r="G154"/>
    </row>
    <row r="155" spans="7:7" x14ac:dyDescent="0.2">
      <c r="G155"/>
    </row>
    <row r="156" spans="7:7" x14ac:dyDescent="0.2">
      <c r="G156"/>
    </row>
    <row r="157" spans="7:7" x14ac:dyDescent="0.2">
      <c r="G157"/>
    </row>
    <row r="158" spans="7:7" x14ac:dyDescent="0.2">
      <c r="G158"/>
    </row>
    <row r="159" spans="7:7" x14ac:dyDescent="0.2">
      <c r="G159"/>
    </row>
    <row r="160" spans="7:7" x14ac:dyDescent="0.2">
      <c r="G160"/>
    </row>
    <row r="161" spans="7:7" x14ac:dyDescent="0.2">
      <c r="G161"/>
    </row>
    <row r="162" spans="7:7" x14ac:dyDescent="0.2">
      <c r="G162"/>
    </row>
    <row r="163" spans="7:7" x14ac:dyDescent="0.2">
      <c r="G163"/>
    </row>
    <row r="164" spans="7:7" x14ac:dyDescent="0.2">
      <c r="G164"/>
    </row>
    <row r="165" spans="7:7" x14ac:dyDescent="0.2">
      <c r="G165"/>
    </row>
    <row r="166" spans="7:7" x14ac:dyDescent="0.2">
      <c r="G166"/>
    </row>
    <row r="167" spans="7:7" x14ac:dyDescent="0.2">
      <c r="G167"/>
    </row>
    <row r="168" spans="7:7" x14ac:dyDescent="0.2">
      <c r="G168"/>
    </row>
    <row r="169" spans="7:7" x14ac:dyDescent="0.2">
      <c r="G169"/>
    </row>
    <row r="170" spans="7:7" x14ac:dyDescent="0.2">
      <c r="G170"/>
    </row>
    <row r="171" spans="7:7" x14ac:dyDescent="0.2">
      <c r="G171"/>
    </row>
    <row r="172" spans="7:7" x14ac:dyDescent="0.2">
      <c r="G172"/>
    </row>
    <row r="173" spans="7:7" x14ac:dyDescent="0.2">
      <c r="G173"/>
    </row>
  </sheetData>
  <phoneticPr fontId="5" type="noConversion"/>
  <pageMargins left="0.5" right="0.25" top="1.25" bottom="0.5" header="0.5" footer="0.5"/>
  <pageSetup paperSize="5" scale="90" orientation="landscape" useFirstPageNumber="1" r:id="rId1"/>
  <headerFooter alignWithMargins="0">
    <oddHeader>&amp;CTaylor County
Investment Summary</oddHeader>
    <oddFooter>&amp;C&amp;P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DL146"/>
  <sheetViews>
    <sheetView showGridLines="0" showRuler="0" zoomScale="114" zoomScaleNormal="114" zoomScaleSheetLayoutView="100" zoomScalePageLayoutView="145" workbookViewId="0">
      <pane ySplit="6" topLeftCell="A7" activePane="bottomLeft" state="frozen"/>
      <selection pane="bottomLeft" sqref="A1:N1"/>
    </sheetView>
  </sheetViews>
  <sheetFormatPr defaultRowHeight="12.75" x14ac:dyDescent="0.2"/>
  <cols>
    <col min="1" max="1" width="17.7109375" customWidth="1"/>
    <col min="2" max="2" width="7.85546875" style="52" bestFit="1" customWidth="1"/>
    <col min="3" max="3" width="25.140625" style="58" customWidth="1"/>
    <col min="4" max="4" width="5.28515625" style="100" customWidth="1"/>
    <col min="5" max="5" width="11.140625" customWidth="1"/>
    <col min="6" max="6" width="10.140625" style="21" bestFit="1" customWidth="1"/>
    <col min="7" max="7" width="16" style="64" customWidth="1"/>
    <col min="8" max="8" width="14" style="67" customWidth="1"/>
    <col min="9" max="9" width="14" style="66" customWidth="1"/>
    <col min="10" max="10" width="14.140625" style="64" bestFit="1" customWidth="1"/>
    <col min="11" max="11" width="14.140625" style="69" bestFit="1" customWidth="1"/>
    <col min="12" max="12" width="14.28515625" style="69" customWidth="1"/>
    <col min="13" max="13" width="8" style="69" customWidth="1"/>
    <col min="14" max="14" width="13.85546875" style="69" customWidth="1"/>
    <col min="15" max="16" width="13.7109375" style="64" customWidth="1"/>
    <col min="17" max="17" width="13.28515625" style="64" customWidth="1"/>
    <col min="18" max="18" width="14" customWidth="1"/>
    <col min="19" max="19" width="8.85546875"/>
    <col min="20" max="20" width="11.28515625" bestFit="1" customWidth="1"/>
    <col min="21" max="21" width="8.85546875"/>
    <col min="22" max="22" width="12.85546875" bestFit="1" customWidth="1"/>
    <col min="23" max="23" width="11.28515625" bestFit="1" customWidth="1"/>
    <col min="24" max="24" width="8.85546875"/>
    <col min="25" max="25" width="11.28515625" bestFit="1" customWidth="1"/>
    <col min="26" max="116" width="8.85546875"/>
  </cols>
  <sheetData>
    <row r="1" spans="1:116" x14ac:dyDescent="0.2">
      <c r="A1" s="300" t="s">
        <v>186</v>
      </c>
      <c r="B1" s="300"/>
      <c r="C1" s="300"/>
      <c r="D1" s="300"/>
      <c r="E1" s="300"/>
      <c r="F1" s="300"/>
      <c r="G1" s="300"/>
      <c r="H1" s="300"/>
      <c r="I1" s="300"/>
      <c r="J1" s="300"/>
      <c r="K1" s="300"/>
      <c r="L1" s="300"/>
      <c r="M1" s="300"/>
      <c r="N1" s="300"/>
    </row>
    <row r="2" spans="1:116" x14ac:dyDescent="0.2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</row>
    <row r="3" spans="1:116" x14ac:dyDescent="0.2">
      <c r="A3" s="39"/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</row>
    <row r="4" spans="1:116" s="22" customFormat="1" ht="11.25" customHeight="1" x14ac:dyDescent="0.2">
      <c r="B4" s="55"/>
      <c r="C4" s="56"/>
      <c r="D4" s="111"/>
      <c r="F4" s="23"/>
      <c r="G4" s="80"/>
      <c r="H4" s="106"/>
      <c r="I4" s="102"/>
      <c r="J4" s="80" t="s">
        <v>197</v>
      </c>
      <c r="K4" s="194"/>
      <c r="L4" s="301" t="s">
        <v>182</v>
      </c>
      <c r="M4" s="295"/>
      <c r="N4" s="163"/>
      <c r="O4" s="80" t="s">
        <v>103</v>
      </c>
      <c r="P4" s="80" t="s">
        <v>159</v>
      </c>
      <c r="Q4" s="80" t="s">
        <v>160</v>
      </c>
      <c r="R4" s="80" t="s">
        <v>161</v>
      </c>
    </row>
    <row r="5" spans="1:116" s="22" customFormat="1" ht="12" customHeight="1" x14ac:dyDescent="0.2">
      <c r="A5" s="22" t="s">
        <v>16</v>
      </c>
      <c r="B5" s="55"/>
      <c r="C5" s="56" t="s">
        <v>17</v>
      </c>
      <c r="D5" s="111" t="s">
        <v>95</v>
      </c>
      <c r="E5" s="22" t="s">
        <v>18</v>
      </c>
      <c r="F5" s="23" t="s">
        <v>19</v>
      </c>
      <c r="G5" s="101" t="s">
        <v>192</v>
      </c>
      <c r="H5" s="99" t="s">
        <v>20</v>
      </c>
      <c r="I5" s="99" t="s">
        <v>21</v>
      </c>
      <c r="J5" s="80" t="s">
        <v>22</v>
      </c>
      <c r="K5" s="101" t="s">
        <v>68</v>
      </c>
      <c r="L5" s="302"/>
      <c r="M5" s="296"/>
      <c r="N5" s="298" t="s">
        <v>181</v>
      </c>
      <c r="O5" s="80" t="s">
        <v>22</v>
      </c>
      <c r="P5" s="80" t="s">
        <v>22</v>
      </c>
      <c r="Q5" s="80" t="s">
        <v>22</v>
      </c>
      <c r="R5" s="80" t="s">
        <v>22</v>
      </c>
    </row>
    <row r="6" spans="1:116" s="24" customFormat="1" ht="11.25" customHeight="1" x14ac:dyDescent="0.2">
      <c r="B6" s="103"/>
      <c r="C6" s="57" t="s">
        <v>23</v>
      </c>
      <c r="D6" s="112" t="s">
        <v>96</v>
      </c>
      <c r="E6" s="24" t="s">
        <v>24</v>
      </c>
      <c r="F6" s="25" t="s">
        <v>25</v>
      </c>
      <c r="G6" s="105" t="s">
        <v>193</v>
      </c>
      <c r="H6" s="107"/>
      <c r="I6" s="108"/>
      <c r="J6" s="104" t="s">
        <v>26</v>
      </c>
      <c r="K6" s="105" t="s">
        <v>26</v>
      </c>
      <c r="L6" s="303"/>
      <c r="M6" s="297"/>
      <c r="N6" s="299"/>
      <c r="O6" s="104" t="s">
        <v>26</v>
      </c>
      <c r="P6" s="104" t="s">
        <v>26</v>
      </c>
      <c r="Q6" s="104" t="s">
        <v>26</v>
      </c>
      <c r="R6" s="104" t="s">
        <v>26</v>
      </c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2"/>
      <c r="AS6" s="22"/>
      <c r="AT6" s="22"/>
      <c r="AU6" s="22"/>
      <c r="AV6" s="22"/>
      <c r="AW6" s="22"/>
      <c r="AX6" s="22"/>
      <c r="AY6" s="22"/>
      <c r="AZ6" s="22"/>
      <c r="BA6" s="22"/>
      <c r="BB6" s="22"/>
      <c r="BC6" s="22"/>
      <c r="BD6" s="22"/>
      <c r="BE6" s="22"/>
      <c r="BF6" s="22"/>
      <c r="BG6" s="22"/>
      <c r="BH6" s="22"/>
      <c r="BI6" s="22"/>
      <c r="BJ6" s="22"/>
      <c r="BK6" s="22"/>
      <c r="BL6" s="22"/>
      <c r="BM6" s="22"/>
      <c r="BN6" s="22"/>
      <c r="BO6" s="22"/>
      <c r="BP6" s="22"/>
      <c r="BQ6" s="22"/>
      <c r="BR6" s="22"/>
      <c r="BS6" s="22"/>
      <c r="BT6" s="22"/>
      <c r="BU6" s="22"/>
      <c r="BV6" s="22"/>
      <c r="BW6" s="22"/>
      <c r="BX6" s="22"/>
      <c r="BY6" s="22"/>
      <c r="BZ6" s="22"/>
      <c r="CA6" s="22"/>
      <c r="CB6" s="22"/>
      <c r="CC6" s="22"/>
      <c r="CD6" s="22"/>
      <c r="CE6" s="22"/>
      <c r="CF6" s="22"/>
      <c r="CG6" s="22"/>
      <c r="CH6" s="22"/>
      <c r="CI6" s="22"/>
      <c r="CJ6" s="22"/>
      <c r="CK6" s="22"/>
      <c r="CL6" s="22"/>
      <c r="CM6" s="22"/>
      <c r="CN6" s="22"/>
      <c r="CO6" s="22"/>
      <c r="CP6" s="22"/>
      <c r="CQ6" s="22"/>
      <c r="CR6" s="22"/>
      <c r="CS6" s="22"/>
      <c r="CT6" s="22"/>
      <c r="CU6" s="22"/>
      <c r="CV6" s="22"/>
      <c r="CW6" s="22"/>
      <c r="CX6" s="22"/>
      <c r="CY6" s="22"/>
      <c r="CZ6" s="22"/>
      <c r="DA6" s="22"/>
      <c r="DB6" s="22"/>
      <c r="DC6" s="22"/>
      <c r="DD6" s="22"/>
      <c r="DE6" s="22"/>
      <c r="DF6" s="22"/>
      <c r="DG6" s="22"/>
      <c r="DH6" s="22"/>
      <c r="DI6" s="22"/>
      <c r="DJ6" s="22"/>
      <c r="DK6" s="22"/>
      <c r="DL6" s="22"/>
    </row>
    <row r="7" spans="1:116" ht="14.25" customHeight="1" x14ac:dyDescent="0.2">
      <c r="A7" s="22" t="s">
        <v>178</v>
      </c>
      <c r="C7" s="115" t="s">
        <v>100</v>
      </c>
      <c r="D7" s="116">
        <v>3.8553999999999999</v>
      </c>
      <c r="E7" s="115"/>
      <c r="F7" s="117">
        <v>45657</v>
      </c>
      <c r="G7" s="118">
        <v>6455325.0999999996</v>
      </c>
      <c r="H7" s="118">
        <f t="shared" ref="H7:I13" si="0">SUM(G7)</f>
        <v>6455325.0999999996</v>
      </c>
      <c r="I7" s="118">
        <f t="shared" si="0"/>
        <v>6455325.0999999996</v>
      </c>
      <c r="J7" s="97">
        <f>SUM(B27)</f>
        <v>62431.76999999999</v>
      </c>
      <c r="K7" s="94">
        <f>SUM(J7+O7+P7+Q7)</f>
        <v>62431.76999999999</v>
      </c>
      <c r="L7" s="172"/>
      <c r="M7" s="173"/>
      <c r="N7" s="174"/>
      <c r="O7" s="97"/>
      <c r="P7" s="97"/>
      <c r="Q7" s="97"/>
      <c r="R7" s="97"/>
    </row>
    <row r="8" spans="1:116" ht="14.25" customHeight="1" x14ac:dyDescent="0.2">
      <c r="C8" s="58" t="s">
        <v>92</v>
      </c>
      <c r="D8" s="78">
        <v>4.5609999999999999</v>
      </c>
      <c r="F8" s="27">
        <v>45657</v>
      </c>
      <c r="G8" s="63">
        <v>800</v>
      </c>
      <c r="H8" s="63">
        <f t="shared" si="0"/>
        <v>800</v>
      </c>
      <c r="I8" s="63">
        <f t="shared" si="0"/>
        <v>800</v>
      </c>
      <c r="J8" s="63">
        <v>6372.56</v>
      </c>
      <c r="K8" s="69">
        <f t="shared" ref="K8:K11" si="1">SUM(J8+O8+P8+Q8)</f>
        <v>6372.56</v>
      </c>
      <c r="L8" s="172"/>
      <c r="M8" s="173"/>
      <c r="N8" s="174"/>
      <c r="O8" s="63"/>
      <c r="P8" s="63"/>
      <c r="Q8" s="63"/>
      <c r="R8" s="66"/>
    </row>
    <row r="9" spans="1:116" ht="14.25" customHeight="1" x14ac:dyDescent="0.2">
      <c r="A9" s="244" t="s">
        <v>121</v>
      </c>
      <c r="B9" s="245">
        <v>1172.19</v>
      </c>
      <c r="C9" s="115" t="s">
        <v>93</v>
      </c>
      <c r="D9" s="116">
        <v>4.6947000000000001</v>
      </c>
      <c r="E9" s="115"/>
      <c r="F9" s="117">
        <v>45657</v>
      </c>
      <c r="G9" s="118">
        <v>25500000</v>
      </c>
      <c r="H9" s="118">
        <f t="shared" si="0"/>
        <v>25500000</v>
      </c>
      <c r="I9" s="118">
        <f t="shared" si="0"/>
        <v>25500000</v>
      </c>
      <c r="J9" s="118">
        <v>60989.65</v>
      </c>
      <c r="K9" s="119">
        <f t="shared" si="1"/>
        <v>60989.65</v>
      </c>
      <c r="L9" s="172"/>
      <c r="M9" s="173"/>
      <c r="N9" s="174"/>
      <c r="O9" s="63"/>
      <c r="P9" s="63"/>
      <c r="Q9" s="63"/>
      <c r="R9" s="66"/>
    </row>
    <row r="10" spans="1:116" ht="14.25" customHeight="1" x14ac:dyDescent="0.2">
      <c r="A10" s="244" t="s">
        <v>122</v>
      </c>
      <c r="B10" s="245">
        <v>3995.32</v>
      </c>
      <c r="C10" s="58" t="s">
        <v>116</v>
      </c>
      <c r="D10" s="78">
        <v>4.5</v>
      </c>
      <c r="E10" t="s">
        <v>0</v>
      </c>
      <c r="F10" s="27">
        <v>45657</v>
      </c>
      <c r="G10" s="63">
        <v>15838.11</v>
      </c>
      <c r="H10" s="63">
        <f t="shared" si="0"/>
        <v>15838.11</v>
      </c>
      <c r="I10" s="63">
        <f t="shared" si="0"/>
        <v>15838.11</v>
      </c>
      <c r="J10" s="3">
        <v>3935.34</v>
      </c>
      <c r="K10" s="69">
        <f t="shared" si="1"/>
        <v>3935.34</v>
      </c>
      <c r="L10" s="172"/>
      <c r="M10" s="173"/>
      <c r="N10" s="174"/>
      <c r="O10" s="63"/>
      <c r="P10" s="63"/>
      <c r="Q10" s="63"/>
      <c r="R10" s="66"/>
    </row>
    <row r="11" spans="1:116" ht="14.25" customHeight="1" x14ac:dyDescent="0.2">
      <c r="A11" s="244" t="s">
        <v>123</v>
      </c>
      <c r="B11" s="245">
        <v>0.24</v>
      </c>
      <c r="C11" s="115" t="s">
        <v>180</v>
      </c>
      <c r="D11" s="116">
        <v>4.6900000000000004</v>
      </c>
      <c r="E11" s="115" t="s">
        <v>0</v>
      </c>
      <c r="F11" s="117">
        <v>45657</v>
      </c>
      <c r="G11" s="121">
        <v>24012.720000000001</v>
      </c>
      <c r="H11" s="118">
        <f t="shared" si="0"/>
        <v>24012.720000000001</v>
      </c>
      <c r="I11" s="118">
        <f t="shared" si="0"/>
        <v>24012.720000000001</v>
      </c>
      <c r="J11" s="129">
        <v>291.97000000000003</v>
      </c>
      <c r="K11" s="119">
        <f t="shared" si="1"/>
        <v>291.97000000000003</v>
      </c>
      <c r="L11" s="172"/>
      <c r="M11" s="173"/>
      <c r="N11" s="174"/>
      <c r="R11" s="67"/>
      <c r="W11" s="153" t="s">
        <v>0</v>
      </c>
    </row>
    <row r="12" spans="1:116" ht="14.25" customHeight="1" x14ac:dyDescent="0.2">
      <c r="A12" s="244" t="s">
        <v>125</v>
      </c>
      <c r="B12" s="245">
        <v>99.44</v>
      </c>
      <c r="C12" s="58" t="s">
        <v>118</v>
      </c>
      <c r="D12" s="78">
        <v>0</v>
      </c>
      <c r="E12" t="s">
        <v>0</v>
      </c>
      <c r="F12" s="27">
        <v>45657</v>
      </c>
      <c r="G12" s="63">
        <v>368.12</v>
      </c>
      <c r="H12" s="63">
        <f>SUM(G12)</f>
        <v>368.12</v>
      </c>
      <c r="I12" s="63">
        <f t="shared" si="0"/>
        <v>368.12</v>
      </c>
      <c r="J12" s="63">
        <v>473.4</v>
      </c>
      <c r="K12" s="69">
        <f t="shared" ref="K12:K13" si="2">SUM(J12+O12+P12+Q12)</f>
        <v>473.4</v>
      </c>
      <c r="L12" s="172"/>
      <c r="M12" s="173"/>
      <c r="N12" s="174"/>
      <c r="O12" s="63"/>
      <c r="P12" s="63"/>
      <c r="Q12" s="63"/>
      <c r="R12" s="66"/>
    </row>
    <row r="13" spans="1:116" ht="14.25" customHeight="1" x14ac:dyDescent="0.2">
      <c r="A13" s="244" t="s">
        <v>124</v>
      </c>
      <c r="B13" s="245">
        <v>50.39</v>
      </c>
      <c r="C13" s="185" t="s">
        <v>174</v>
      </c>
      <c r="D13" s="186">
        <v>4.7464000000000004</v>
      </c>
      <c r="E13" s="185" t="s">
        <v>0</v>
      </c>
      <c r="F13" s="187">
        <v>45657</v>
      </c>
      <c r="G13" s="188">
        <v>5257294.4400000004</v>
      </c>
      <c r="H13" s="188">
        <f>SUM(G13)</f>
        <v>5257294.4400000004</v>
      </c>
      <c r="I13" s="188">
        <f t="shared" si="0"/>
        <v>5257294.4400000004</v>
      </c>
      <c r="J13" s="188">
        <v>78704.240000000005</v>
      </c>
      <c r="K13" s="193">
        <f t="shared" si="2"/>
        <v>78704.240000000005</v>
      </c>
      <c r="L13" s="172"/>
      <c r="M13" s="173"/>
      <c r="N13" s="174"/>
      <c r="O13" s="63"/>
      <c r="P13" s="63"/>
      <c r="Q13" s="63"/>
      <c r="R13" s="66"/>
    </row>
    <row r="14" spans="1:116" ht="14.25" customHeight="1" x14ac:dyDescent="0.2">
      <c r="A14" s="244" t="s">
        <v>126</v>
      </c>
      <c r="B14" s="245">
        <v>0.33</v>
      </c>
      <c r="C14" s="58" t="s">
        <v>163</v>
      </c>
      <c r="D14" s="155">
        <v>4.95</v>
      </c>
      <c r="E14" s="58" t="s">
        <v>164</v>
      </c>
      <c r="F14" s="156">
        <v>45708</v>
      </c>
      <c r="G14" s="67">
        <v>249000</v>
      </c>
      <c r="H14" s="66">
        <v>249000</v>
      </c>
      <c r="I14" s="66">
        <v>249000</v>
      </c>
      <c r="J14" s="67">
        <v>3106.7</v>
      </c>
      <c r="K14" s="70">
        <f>SUM(J14+O15+P15+Q15)</f>
        <v>3106.7</v>
      </c>
      <c r="L14" s="172"/>
      <c r="M14" s="173"/>
      <c r="N14" s="174"/>
      <c r="O14" s="63"/>
      <c r="P14" s="63"/>
      <c r="Q14" s="63"/>
      <c r="R14" s="66"/>
    </row>
    <row r="15" spans="1:116" ht="14.25" customHeight="1" x14ac:dyDescent="0.2">
      <c r="A15" s="244" t="s">
        <v>127</v>
      </c>
      <c r="B15" s="245">
        <v>217.86</v>
      </c>
      <c r="C15" s="115" t="s">
        <v>165</v>
      </c>
      <c r="D15" s="116">
        <v>5</v>
      </c>
      <c r="E15" s="122" t="s">
        <v>166</v>
      </c>
      <c r="F15" s="117">
        <v>45709</v>
      </c>
      <c r="G15" s="121">
        <v>238000</v>
      </c>
      <c r="H15" s="121">
        <v>238000</v>
      </c>
      <c r="I15" s="118">
        <v>238000</v>
      </c>
      <c r="J15" s="121">
        <v>2999.45</v>
      </c>
      <c r="K15" s="119">
        <f t="shared" ref="K15:K24" si="3">SUM(J15+O17+P17+Q17)</f>
        <v>2999.45</v>
      </c>
      <c r="L15" s="172"/>
      <c r="M15" s="173"/>
      <c r="N15" s="174"/>
      <c r="R15" s="160"/>
    </row>
    <row r="16" spans="1:116" ht="14.25" customHeight="1" x14ac:dyDescent="0.2">
      <c r="A16" s="244" t="s">
        <v>184</v>
      </c>
      <c r="B16" s="245">
        <v>4420.8900000000003</v>
      </c>
      <c r="C16" s="58" t="s">
        <v>143</v>
      </c>
      <c r="D16" s="155">
        <v>5.25</v>
      </c>
      <c r="E16" s="58" t="s">
        <v>134</v>
      </c>
      <c r="F16" s="156">
        <v>45733</v>
      </c>
      <c r="G16" s="67">
        <v>249000</v>
      </c>
      <c r="H16" s="66">
        <v>249000</v>
      </c>
      <c r="I16" s="157">
        <v>249465.63</v>
      </c>
      <c r="J16" s="67">
        <v>3300.04</v>
      </c>
      <c r="K16" s="70">
        <f t="shared" si="3"/>
        <v>3300.04</v>
      </c>
      <c r="L16" s="172"/>
      <c r="M16" s="173"/>
      <c r="N16" s="174"/>
      <c r="R16" s="67"/>
    </row>
    <row r="17" spans="1:25" ht="14.25" customHeight="1" x14ac:dyDescent="0.2">
      <c r="A17" s="244" t="s">
        <v>183</v>
      </c>
      <c r="B17" s="245">
        <v>9476.08</v>
      </c>
      <c r="C17" s="115" t="s">
        <v>135</v>
      </c>
      <c r="D17" s="116">
        <v>5.25</v>
      </c>
      <c r="E17" s="122">
        <v>254673278</v>
      </c>
      <c r="F17" s="120">
        <v>45737</v>
      </c>
      <c r="G17" s="121">
        <v>243000</v>
      </c>
      <c r="H17" s="118">
        <v>243000</v>
      </c>
      <c r="I17" s="152">
        <v>243488.43</v>
      </c>
      <c r="J17" s="121">
        <v>3216.32</v>
      </c>
      <c r="K17" s="119">
        <f t="shared" si="3"/>
        <v>3216.32</v>
      </c>
      <c r="L17" s="172"/>
      <c r="M17" s="173"/>
      <c r="N17" s="174"/>
      <c r="R17" s="67"/>
    </row>
    <row r="18" spans="1:25" ht="14.25" customHeight="1" x14ac:dyDescent="0.2">
      <c r="A18" s="246" t="s">
        <v>86</v>
      </c>
      <c r="B18" s="138">
        <v>240.49</v>
      </c>
      <c r="C18" s="58" t="s">
        <v>136</v>
      </c>
      <c r="D18" s="155">
        <v>5.3</v>
      </c>
      <c r="E18" s="58" t="s">
        <v>137</v>
      </c>
      <c r="F18" s="156">
        <v>45740</v>
      </c>
      <c r="G18" s="67">
        <v>249000</v>
      </c>
      <c r="H18" s="66">
        <v>249000</v>
      </c>
      <c r="I18" s="157">
        <v>249468.12</v>
      </c>
      <c r="J18" s="67">
        <v>3331.32</v>
      </c>
      <c r="K18" s="70">
        <f t="shared" si="3"/>
        <v>3331.32</v>
      </c>
      <c r="L18" s="172"/>
      <c r="M18" s="173"/>
      <c r="N18" s="174"/>
      <c r="R18" s="67"/>
    </row>
    <row r="19" spans="1:25" ht="14.25" customHeight="1" x14ac:dyDescent="0.2">
      <c r="A19" s="246" t="s">
        <v>85</v>
      </c>
      <c r="B19" s="245">
        <v>118.25</v>
      </c>
      <c r="C19" s="115" t="s">
        <v>138</v>
      </c>
      <c r="D19" s="116">
        <v>5.15</v>
      </c>
      <c r="E19" s="122" t="s">
        <v>139</v>
      </c>
      <c r="F19" s="120">
        <v>45743</v>
      </c>
      <c r="G19" s="121">
        <v>243000</v>
      </c>
      <c r="H19" s="118">
        <v>243000</v>
      </c>
      <c r="I19" s="152">
        <v>243434.97</v>
      </c>
      <c r="J19" s="121">
        <v>3159.28</v>
      </c>
      <c r="K19" s="119">
        <f t="shared" si="3"/>
        <v>3159.28</v>
      </c>
      <c r="L19" s="172"/>
      <c r="M19" s="173"/>
      <c r="N19" s="174"/>
      <c r="R19" s="67"/>
    </row>
    <row r="20" spans="1:25" ht="14.25" customHeight="1" x14ac:dyDescent="0.2">
      <c r="A20" s="246" t="s">
        <v>87</v>
      </c>
      <c r="B20" s="138">
        <v>8870.5499999999993</v>
      </c>
      <c r="C20" s="58" t="s">
        <v>153</v>
      </c>
      <c r="D20" s="155">
        <v>5.05</v>
      </c>
      <c r="E20" s="58" t="s">
        <v>154</v>
      </c>
      <c r="F20" s="158">
        <v>45852</v>
      </c>
      <c r="G20" s="162">
        <v>243000</v>
      </c>
      <c r="H20" s="162">
        <v>243000</v>
      </c>
      <c r="I20" s="162">
        <v>243996.3</v>
      </c>
      <c r="J20" s="162">
        <v>3062.68</v>
      </c>
      <c r="K20" s="70">
        <f t="shared" si="3"/>
        <v>3062.68</v>
      </c>
      <c r="L20" s="172"/>
      <c r="M20" s="173"/>
      <c r="N20" s="174"/>
      <c r="R20" s="67"/>
    </row>
    <row r="21" spans="1:25" ht="14.25" customHeight="1" x14ac:dyDescent="0.2">
      <c r="A21" s="246" t="s">
        <v>189</v>
      </c>
      <c r="B21" s="245">
        <v>12637.99</v>
      </c>
      <c r="C21" s="115" t="s">
        <v>117</v>
      </c>
      <c r="D21" s="116">
        <v>4.8570000000000002</v>
      </c>
      <c r="E21" s="122" t="s">
        <v>149</v>
      </c>
      <c r="F21" s="120">
        <v>45884</v>
      </c>
      <c r="G21" s="121">
        <v>998000</v>
      </c>
      <c r="H21" s="118">
        <v>965150.75</v>
      </c>
      <c r="I21" s="152">
        <v>991073.88</v>
      </c>
      <c r="J21" s="121">
        <v>12011.52</v>
      </c>
      <c r="K21" s="119">
        <f t="shared" si="3"/>
        <v>12011.52</v>
      </c>
      <c r="L21" s="172"/>
      <c r="M21" s="173"/>
      <c r="N21" s="174"/>
      <c r="R21" s="67"/>
    </row>
    <row r="22" spans="1:25" ht="14.25" customHeight="1" x14ac:dyDescent="0.2">
      <c r="A22" s="246" t="s">
        <v>88</v>
      </c>
      <c r="B22" s="245">
        <f>9.52+1048.83</f>
        <v>1058.3499999999999</v>
      </c>
      <c r="C22" s="58" t="s">
        <v>168</v>
      </c>
      <c r="D22" s="155">
        <v>4.8499999999999996</v>
      </c>
      <c r="E22" s="159" t="s">
        <v>167</v>
      </c>
      <c r="F22" s="156">
        <v>45890</v>
      </c>
      <c r="G22" s="67">
        <v>244000</v>
      </c>
      <c r="H22" s="66">
        <v>244000</v>
      </c>
      <c r="I22" s="157">
        <v>244936.95999999999</v>
      </c>
      <c r="J22" s="67">
        <v>2982.82</v>
      </c>
      <c r="K22" s="70">
        <f t="shared" si="3"/>
        <v>2982.82</v>
      </c>
      <c r="L22" s="172"/>
      <c r="M22" s="173"/>
      <c r="N22" s="174"/>
      <c r="O22" s="184"/>
      <c r="P22" s="184"/>
      <c r="Q22" s="65"/>
      <c r="R22" s="162"/>
    </row>
    <row r="23" spans="1:25" ht="14.25" customHeight="1" x14ac:dyDescent="0.2">
      <c r="A23" s="246" t="s">
        <v>89</v>
      </c>
      <c r="B23" s="245">
        <v>143.88</v>
      </c>
      <c r="C23" s="115" t="s">
        <v>179</v>
      </c>
      <c r="D23" s="116">
        <v>5.05</v>
      </c>
      <c r="E23" s="122" t="s">
        <v>150</v>
      </c>
      <c r="F23" s="120">
        <v>45894</v>
      </c>
      <c r="G23" s="121">
        <v>243000</v>
      </c>
      <c r="H23" s="118">
        <v>243000</v>
      </c>
      <c r="I23" s="152">
        <v>244292.76</v>
      </c>
      <c r="J23" s="121">
        <v>3093.04</v>
      </c>
      <c r="K23" s="119">
        <f t="shared" si="3"/>
        <v>3093.04</v>
      </c>
      <c r="L23" s="172"/>
      <c r="M23" s="173"/>
      <c r="N23" s="174"/>
      <c r="R23" s="67"/>
    </row>
    <row r="24" spans="1:25" ht="14.25" customHeight="1" x14ac:dyDescent="0.2">
      <c r="A24" s="246" t="s">
        <v>111</v>
      </c>
      <c r="B24" s="245">
        <v>215.32</v>
      </c>
      <c r="C24" s="58" t="s">
        <v>151</v>
      </c>
      <c r="D24" s="155">
        <v>5</v>
      </c>
      <c r="E24" s="266" t="s">
        <v>152</v>
      </c>
      <c r="F24" s="156">
        <v>45894</v>
      </c>
      <c r="G24" s="67">
        <v>243000</v>
      </c>
      <c r="H24" s="66">
        <v>243000</v>
      </c>
      <c r="I24" s="157">
        <v>244183.41</v>
      </c>
      <c r="J24" s="67">
        <v>3062.68</v>
      </c>
      <c r="K24" s="70">
        <f t="shared" si="3"/>
        <v>3062.68</v>
      </c>
      <c r="L24" s="172"/>
      <c r="M24" s="173"/>
      <c r="N24" s="174"/>
      <c r="R24" s="67"/>
    </row>
    <row r="25" spans="1:25" ht="14.25" customHeight="1" x14ac:dyDescent="0.2">
      <c r="A25" s="247" t="s">
        <v>90</v>
      </c>
      <c r="B25" s="248">
        <f>SUM(B9:B24)</f>
        <v>42717.569999999992</v>
      </c>
      <c r="C25" s="115" t="s">
        <v>142</v>
      </c>
      <c r="D25" s="116">
        <v>4.3899999999999997</v>
      </c>
      <c r="E25" s="115" t="s">
        <v>0</v>
      </c>
      <c r="F25" s="117">
        <v>45916</v>
      </c>
      <c r="G25" s="118">
        <v>10356673.970000001</v>
      </c>
      <c r="H25" s="118">
        <v>10356673.970000001</v>
      </c>
      <c r="I25" s="118">
        <v>10356673.970000001</v>
      </c>
      <c r="J25" s="118">
        <v>9965.11</v>
      </c>
      <c r="K25" s="119">
        <f>SUM(J25+O16+P16+Q16)</f>
        <v>9965.11</v>
      </c>
      <c r="L25" s="172"/>
      <c r="M25" s="173"/>
      <c r="N25" s="174"/>
      <c r="R25" s="67"/>
    </row>
    <row r="26" spans="1:25" ht="14.25" customHeight="1" x14ac:dyDescent="0.2">
      <c r="A26" s="247" t="s">
        <v>205</v>
      </c>
      <c r="B26" s="248">
        <v>19714.2</v>
      </c>
      <c r="C26" s="58" t="s">
        <v>169</v>
      </c>
      <c r="D26" s="155">
        <v>4.6500000000000004</v>
      </c>
      <c r="E26" s="159" t="s">
        <v>170</v>
      </c>
      <c r="F26" s="156">
        <v>46073</v>
      </c>
      <c r="G26" s="67">
        <v>244000</v>
      </c>
      <c r="H26" s="66">
        <v>244000</v>
      </c>
      <c r="I26" s="157">
        <v>245334.68</v>
      </c>
      <c r="J26" s="67">
        <v>2859.81</v>
      </c>
      <c r="K26" s="70">
        <f>SUM(J26+O27+P27+Q27)</f>
        <v>2859.81</v>
      </c>
      <c r="L26" s="172"/>
      <c r="M26" s="173"/>
      <c r="N26" s="174"/>
      <c r="R26" s="67"/>
    </row>
    <row r="27" spans="1:25" ht="14.25" customHeight="1" x14ac:dyDescent="0.2">
      <c r="A27" s="247" t="s">
        <v>91</v>
      </c>
      <c r="B27" s="138">
        <f>SUM(B25:B26)</f>
        <v>62431.76999999999</v>
      </c>
      <c r="C27" s="115" t="s">
        <v>190</v>
      </c>
      <c r="D27" s="116">
        <v>5.5</v>
      </c>
      <c r="E27" s="122" t="s">
        <v>203</v>
      </c>
      <c r="F27" s="120">
        <v>46261</v>
      </c>
      <c r="G27" s="121">
        <v>2000000</v>
      </c>
      <c r="H27" s="118">
        <v>2000000</v>
      </c>
      <c r="I27" s="152">
        <v>2000000</v>
      </c>
      <c r="J27" s="121">
        <v>22684.93</v>
      </c>
      <c r="K27" s="119">
        <f>SUM(J27+O28+P28+Q28)</f>
        <v>22684.93</v>
      </c>
      <c r="L27" s="172"/>
      <c r="M27" s="173"/>
      <c r="N27" s="174"/>
      <c r="R27" s="67"/>
    </row>
    <row r="28" spans="1:25" ht="14.25" customHeight="1" x14ac:dyDescent="0.2">
      <c r="A28" s="58"/>
      <c r="B28" s="62"/>
      <c r="C28" s="242" t="s">
        <v>142</v>
      </c>
      <c r="D28" s="262">
        <v>5.47</v>
      </c>
      <c r="E28" s="242" t="s">
        <v>0</v>
      </c>
      <c r="F28" s="263">
        <v>45646</v>
      </c>
      <c r="G28" s="97">
        <v>0</v>
      </c>
      <c r="H28" s="97">
        <v>0</v>
      </c>
      <c r="I28" s="97">
        <v>0</v>
      </c>
      <c r="J28" s="97">
        <v>121389.04</v>
      </c>
      <c r="K28" s="94">
        <f>SUM(J28+O29+P29+Q29)</f>
        <v>121389.04</v>
      </c>
      <c r="L28" s="172">
        <v>356673.97</v>
      </c>
      <c r="M28" s="173"/>
      <c r="N28" s="174">
        <v>10000000</v>
      </c>
      <c r="R28" s="67"/>
      <c r="Y28" s="153" t="s">
        <v>0</v>
      </c>
    </row>
    <row r="29" spans="1:25" x14ac:dyDescent="0.2">
      <c r="A29" s="58"/>
      <c r="B29" s="62"/>
      <c r="C29" s="242" t="s">
        <v>117</v>
      </c>
      <c r="D29" s="262">
        <v>1.5</v>
      </c>
      <c r="E29" s="264" t="s">
        <v>158</v>
      </c>
      <c r="F29" s="263">
        <v>45626</v>
      </c>
      <c r="G29" s="243">
        <v>0</v>
      </c>
      <c r="H29" s="243">
        <v>0</v>
      </c>
      <c r="I29" s="265">
        <v>0</v>
      </c>
      <c r="J29" s="240">
        <v>7977.51</v>
      </c>
      <c r="K29" s="94">
        <f>SUM(P29:R29,J29)</f>
        <v>7977.51</v>
      </c>
      <c r="L29" s="172">
        <v>47351.32</v>
      </c>
      <c r="M29" s="173"/>
      <c r="N29" s="174">
        <v>951000</v>
      </c>
    </row>
    <row r="30" spans="1:25" ht="14.25" customHeight="1" thickBot="1" x14ac:dyDescent="0.25">
      <c r="A30" s="96"/>
      <c r="B30" s="79"/>
      <c r="C30" s="56"/>
      <c r="D30" s="111"/>
      <c r="E30" s="36" t="s">
        <v>204</v>
      </c>
      <c r="F30" s="37"/>
      <c r="G30" s="68">
        <f>SUM(G7:G29)</f>
        <v>53296312.460000001</v>
      </c>
      <c r="H30" s="68">
        <f>SUM(H7:H28)</f>
        <v>53263463.210000001</v>
      </c>
      <c r="I30" s="68">
        <f>SUM(I7:I28)</f>
        <v>53296987.599999994</v>
      </c>
      <c r="J30" s="68">
        <f>SUM(J7:J28)</f>
        <v>413423.67</v>
      </c>
      <c r="K30" s="68">
        <f>SUM(K7:K28)</f>
        <v>413423.67</v>
      </c>
      <c r="L30" s="285"/>
      <c r="M30" s="286"/>
      <c r="N30" s="287"/>
      <c r="R30" s="64"/>
    </row>
    <row r="31" spans="1:25" ht="14.25" customHeight="1" x14ac:dyDescent="0.2">
      <c r="A31" s="96"/>
      <c r="B31" s="79"/>
      <c r="L31" s="283"/>
      <c r="N31" s="284"/>
      <c r="R31" s="64"/>
    </row>
    <row r="32" spans="1:25" ht="14.25" customHeight="1" x14ac:dyDescent="0.2">
      <c r="A32" s="96"/>
      <c r="B32" s="79"/>
      <c r="L32" s="283"/>
      <c r="N32" s="284"/>
    </row>
    <row r="33" spans="1:18" ht="12" customHeight="1" x14ac:dyDescent="0.2">
      <c r="A33" s="22" t="s">
        <v>114</v>
      </c>
      <c r="B33" s="79"/>
      <c r="C33" s="115" t="s">
        <v>99</v>
      </c>
      <c r="D33" s="116">
        <f>SUM(D7)</f>
        <v>3.8553999999999999</v>
      </c>
      <c r="E33" s="127"/>
      <c r="F33" s="117">
        <f>SUM(F7)</f>
        <v>45657</v>
      </c>
      <c r="G33" s="118">
        <v>2642557.2000000002</v>
      </c>
      <c r="H33" s="118">
        <f>SUM(G33)</f>
        <v>2642557.2000000002</v>
      </c>
      <c r="I33" s="118">
        <f>SUM(G33)</f>
        <v>2642557.2000000002</v>
      </c>
      <c r="J33" s="121">
        <v>27898.98</v>
      </c>
      <c r="K33" s="119">
        <f>SUM(J33+O33+P33+Q33)</f>
        <v>27898.98</v>
      </c>
      <c r="L33" s="172"/>
      <c r="M33" s="173"/>
      <c r="N33" s="174"/>
      <c r="R33" s="67"/>
    </row>
    <row r="34" spans="1:18" ht="12" customHeight="1" x14ac:dyDescent="0.2">
      <c r="A34" s="22"/>
      <c r="B34" s="189">
        <v>45520</v>
      </c>
      <c r="C34" s="58" t="s">
        <v>187</v>
      </c>
      <c r="D34" s="155">
        <v>4.4400000000000004</v>
      </c>
      <c r="E34" s="161"/>
      <c r="F34" s="158">
        <v>45657</v>
      </c>
      <c r="G34" s="66">
        <v>8144669.4299999997</v>
      </c>
      <c r="H34" s="66">
        <f>SUM(G34)</f>
        <v>8144669.4299999997</v>
      </c>
      <c r="I34" s="66">
        <f>SUM(G34)</f>
        <v>8144669.4299999997</v>
      </c>
      <c r="J34" s="67">
        <v>95280.49</v>
      </c>
      <c r="K34" s="70">
        <f>SUM(J34+O34+P34+Q34)</f>
        <v>95280.49</v>
      </c>
      <c r="L34" s="172"/>
      <c r="M34" s="173"/>
      <c r="N34" s="174"/>
      <c r="O34" s="71"/>
      <c r="P34" s="71"/>
      <c r="Q34" s="71"/>
      <c r="R34" s="67"/>
    </row>
    <row r="35" spans="1:18" ht="12" customHeight="1" x14ac:dyDescent="0.2">
      <c r="A35" s="22"/>
      <c r="B35" s="79"/>
      <c r="D35" s="155"/>
      <c r="E35" s="161"/>
      <c r="F35" s="158"/>
      <c r="G35" s="66"/>
      <c r="H35" s="66"/>
      <c r="J35" s="67"/>
      <c r="K35" s="70"/>
      <c r="L35" s="172"/>
      <c r="M35" s="173"/>
      <c r="N35" s="174"/>
      <c r="R35" s="67"/>
    </row>
    <row r="36" spans="1:18" ht="14.25" customHeight="1" x14ac:dyDescent="0.2">
      <c r="D36" s="78"/>
      <c r="E36" s="28"/>
      <c r="F36" s="27"/>
      <c r="G36" s="63"/>
      <c r="H36" s="3" t="s">
        <v>0</v>
      </c>
      <c r="I36" s="63"/>
      <c r="L36" s="172"/>
      <c r="M36" s="173"/>
      <c r="N36" s="174"/>
      <c r="R36" s="67"/>
    </row>
    <row r="37" spans="1:18" ht="14.25" customHeight="1" x14ac:dyDescent="0.2">
      <c r="A37" s="22" t="s">
        <v>71</v>
      </c>
      <c r="B37" s="79"/>
      <c r="C37" s="115" t="s">
        <v>99</v>
      </c>
      <c r="D37" s="116">
        <f>SUM(D7)</f>
        <v>3.8553999999999999</v>
      </c>
      <c r="E37" s="115"/>
      <c r="F37" s="117">
        <f>SUM(F7)</f>
        <v>45657</v>
      </c>
      <c r="G37" s="128">
        <v>5296.91</v>
      </c>
      <c r="H37" s="118">
        <f>SUM(G37)</f>
        <v>5296.91</v>
      </c>
      <c r="I37" s="118">
        <f>SUM(G37)</f>
        <v>5296.91</v>
      </c>
      <c r="J37" s="128">
        <v>36.08</v>
      </c>
      <c r="K37" s="119">
        <f>SUM(J37+O37+P37+Q37)</f>
        <v>36.08</v>
      </c>
      <c r="L37" s="172"/>
      <c r="M37" s="173"/>
      <c r="N37" s="174"/>
      <c r="O37" s="65"/>
      <c r="P37" s="65"/>
      <c r="Q37" s="65"/>
      <c r="R37" s="162"/>
    </row>
    <row r="38" spans="1:18" ht="14.25" customHeight="1" x14ac:dyDescent="0.2">
      <c r="A38" s="22"/>
      <c r="B38" s="79"/>
      <c r="D38" s="155"/>
      <c r="E38" s="58"/>
      <c r="F38" s="158"/>
      <c r="G38" s="162"/>
      <c r="H38" s="66"/>
      <c r="J38" s="162"/>
      <c r="K38" s="70"/>
      <c r="L38" s="172"/>
      <c r="M38" s="173"/>
      <c r="N38" s="174"/>
      <c r="O38" s="65"/>
      <c r="P38" s="65"/>
      <c r="Q38" s="65"/>
      <c r="R38" s="162"/>
    </row>
    <row r="39" spans="1:18" ht="14.25" customHeight="1" x14ac:dyDescent="0.2">
      <c r="D39" s="78"/>
      <c r="E39" s="28"/>
      <c r="F39" s="27"/>
      <c r="G39" s="63"/>
      <c r="H39" s="3"/>
      <c r="I39" s="63"/>
      <c r="L39" s="172"/>
      <c r="M39" s="173"/>
      <c r="N39" s="174"/>
      <c r="R39" s="67"/>
    </row>
    <row r="40" spans="1:18" ht="14.25" customHeight="1" x14ac:dyDescent="0.2">
      <c r="A40" s="22" t="s">
        <v>6</v>
      </c>
      <c r="B40" s="79"/>
      <c r="C40" s="115" t="s">
        <v>99</v>
      </c>
      <c r="D40" s="116">
        <f>SUM(D7)</f>
        <v>3.8553999999999999</v>
      </c>
      <c r="E40" s="115"/>
      <c r="F40" s="117">
        <f>SUM(F7)</f>
        <v>45657</v>
      </c>
      <c r="G40" s="121">
        <v>6256.32</v>
      </c>
      <c r="H40" s="118">
        <f>SUM(G40)</f>
        <v>6256.32</v>
      </c>
      <c r="I40" s="118">
        <f>SUM(G40)</f>
        <v>6256.32</v>
      </c>
      <c r="J40" s="121">
        <v>42.61</v>
      </c>
      <c r="K40" s="119">
        <f>SUM(J40+O40+P40+Q40)</f>
        <v>42.61</v>
      </c>
      <c r="L40" s="172"/>
      <c r="M40" s="173"/>
      <c r="N40" s="174"/>
      <c r="R40" s="67"/>
    </row>
    <row r="41" spans="1:18" x14ac:dyDescent="0.2">
      <c r="A41" s="22"/>
      <c r="B41" s="79"/>
      <c r="D41" s="78"/>
      <c r="F41" s="27"/>
      <c r="G41" s="65"/>
      <c r="H41" s="65"/>
      <c r="I41" s="65"/>
      <c r="L41" s="172"/>
      <c r="M41" s="173"/>
      <c r="N41" s="174"/>
      <c r="R41" s="67"/>
    </row>
    <row r="42" spans="1:18" ht="12" customHeight="1" x14ac:dyDescent="0.2">
      <c r="A42" s="22"/>
      <c r="B42" s="62"/>
      <c r="D42" s="78"/>
      <c r="F42" s="27"/>
      <c r="G42" s="65"/>
      <c r="H42" s="65"/>
      <c r="I42" s="65"/>
      <c r="J42" s="65"/>
      <c r="L42" s="172"/>
      <c r="M42" s="173"/>
      <c r="N42" s="174"/>
      <c r="O42" s="65"/>
      <c r="P42" s="65"/>
      <c r="Q42" s="65"/>
      <c r="R42" s="162"/>
    </row>
    <row r="43" spans="1:18" ht="12" customHeight="1" x14ac:dyDescent="0.2">
      <c r="A43" s="22" t="s">
        <v>105</v>
      </c>
      <c r="B43" s="62"/>
      <c r="C43" s="115" t="s">
        <v>99</v>
      </c>
      <c r="D43" s="116">
        <f>SUM(D7)</f>
        <v>3.8553999999999999</v>
      </c>
      <c r="E43" s="115"/>
      <c r="F43" s="117">
        <f>SUM(F7)</f>
        <v>45657</v>
      </c>
      <c r="G43" s="128">
        <v>3094917.71</v>
      </c>
      <c r="H43" s="118">
        <f>SUM(G43)</f>
        <v>3094917.71</v>
      </c>
      <c r="I43" s="118">
        <f>SUM(G43)</f>
        <v>3094917.71</v>
      </c>
      <c r="J43" s="128">
        <v>26867.06</v>
      </c>
      <c r="K43" s="119">
        <f t="shared" ref="K43" si="4">SUM(J43+O43+P43+Q43)</f>
        <v>26867.06</v>
      </c>
      <c r="L43" s="172"/>
      <c r="M43" s="173"/>
      <c r="N43" s="174"/>
      <c r="O43" s="65"/>
      <c r="P43" s="65"/>
      <c r="Q43" s="65"/>
      <c r="R43" s="162"/>
    </row>
    <row r="44" spans="1:18" ht="12" customHeight="1" x14ac:dyDescent="0.2">
      <c r="A44" s="22"/>
      <c r="B44" s="62"/>
      <c r="D44" s="78"/>
      <c r="F44" s="27"/>
      <c r="G44" s="65"/>
      <c r="H44" s="65"/>
      <c r="I44" s="65"/>
      <c r="J44" s="65"/>
      <c r="L44" s="172"/>
      <c r="M44" s="173"/>
      <c r="N44" s="174"/>
      <c r="O44" s="65"/>
      <c r="P44" s="65"/>
      <c r="Q44" s="65"/>
      <c r="R44" s="162"/>
    </row>
    <row r="45" spans="1:18" ht="12" customHeight="1" x14ac:dyDescent="0.2">
      <c r="A45" s="22"/>
      <c r="B45" s="62"/>
      <c r="D45" s="78"/>
      <c r="F45" s="27"/>
      <c r="G45" s="65"/>
      <c r="H45" s="65"/>
      <c r="I45" s="65"/>
      <c r="J45" s="65"/>
      <c r="L45" s="172"/>
      <c r="M45" s="173"/>
      <c r="N45" s="174"/>
      <c r="O45" s="65"/>
      <c r="P45" s="65"/>
      <c r="Q45" s="65"/>
      <c r="R45" s="162"/>
    </row>
    <row r="46" spans="1:18" x14ac:dyDescent="0.2">
      <c r="A46" s="22" t="s">
        <v>10</v>
      </c>
      <c r="B46" s="53"/>
      <c r="C46" s="115" t="s">
        <v>99</v>
      </c>
      <c r="D46" s="116">
        <f>SUM(D7)</f>
        <v>3.8553999999999999</v>
      </c>
      <c r="E46" s="115"/>
      <c r="F46" s="117">
        <f>SUM(F7)</f>
        <v>45657</v>
      </c>
      <c r="G46" s="118">
        <v>78250.429999999993</v>
      </c>
      <c r="H46" s="118">
        <f>SUM(G46)</f>
        <v>78250.429999999993</v>
      </c>
      <c r="I46" s="118">
        <f>SUM(G46)</f>
        <v>78250.429999999993</v>
      </c>
      <c r="J46" s="121">
        <v>530.82000000000005</v>
      </c>
      <c r="K46" s="119">
        <f>SUM(J46+O46+P46+Q46)</f>
        <v>530.82000000000005</v>
      </c>
      <c r="L46" s="198"/>
      <c r="M46" s="199"/>
      <c r="N46" s="200"/>
      <c r="R46" s="67"/>
    </row>
    <row r="47" spans="1:18" x14ac:dyDescent="0.2">
      <c r="A47" s="22"/>
      <c r="B47" s="53"/>
      <c r="D47" s="155"/>
      <c r="E47" s="58"/>
      <c r="F47" s="158"/>
      <c r="G47" s="66"/>
      <c r="H47" s="66"/>
      <c r="J47" s="67"/>
      <c r="K47" s="70"/>
      <c r="L47" s="172"/>
      <c r="M47" s="173"/>
      <c r="N47" s="174"/>
      <c r="R47" s="67"/>
    </row>
    <row r="48" spans="1:18" x14ac:dyDescent="0.2">
      <c r="A48" s="22"/>
      <c r="B48" s="53"/>
      <c r="D48" s="155"/>
      <c r="E48" s="58"/>
      <c r="F48" s="158"/>
      <c r="G48" s="66"/>
      <c r="H48" s="66"/>
      <c r="J48" s="67"/>
      <c r="K48" s="70"/>
      <c r="L48" s="172"/>
      <c r="M48" s="173"/>
      <c r="N48" s="174"/>
      <c r="R48" s="67"/>
    </row>
    <row r="49" spans="1:18" s="58" customFormat="1" x14ac:dyDescent="0.2">
      <c r="A49" s="22" t="s">
        <v>29</v>
      </c>
      <c r="B49" s="62"/>
      <c r="C49" s="115" t="s">
        <v>99</v>
      </c>
      <c r="D49" s="116">
        <f>SUM(D7)</f>
        <v>3.8553999999999999</v>
      </c>
      <c r="E49" s="115"/>
      <c r="F49" s="117">
        <f>SUM(F7)</f>
        <v>45657</v>
      </c>
      <c r="G49" s="121">
        <v>1473218.38</v>
      </c>
      <c r="H49" s="118">
        <f>SUM(G49)</f>
        <v>1473218.38</v>
      </c>
      <c r="I49" s="118">
        <f>SUM(G49)</f>
        <v>1473218.38</v>
      </c>
      <c r="J49" s="121">
        <v>2731.13</v>
      </c>
      <c r="K49" s="119">
        <f>SUM(J49+O49+P49+Q49)</f>
        <v>2731.13</v>
      </c>
      <c r="L49" s="172"/>
      <c r="M49" s="173"/>
      <c r="N49" s="174"/>
      <c r="O49" s="64"/>
      <c r="P49" s="64"/>
      <c r="Q49" s="64"/>
      <c r="R49" s="67"/>
    </row>
    <row r="50" spans="1:18" s="58" customFormat="1" x14ac:dyDescent="0.2">
      <c r="A50" s="22"/>
      <c r="B50" s="62"/>
      <c r="D50" s="155"/>
      <c r="F50" s="158"/>
      <c r="G50" s="67"/>
      <c r="H50" s="66"/>
      <c r="I50" s="66"/>
      <c r="J50" s="67"/>
      <c r="K50" s="70"/>
      <c r="L50" s="172"/>
      <c r="M50" s="173"/>
      <c r="N50" s="174"/>
      <c r="O50" s="64"/>
      <c r="P50" s="64"/>
      <c r="Q50" s="64"/>
      <c r="R50" s="67"/>
    </row>
    <row r="51" spans="1:18" x14ac:dyDescent="0.2">
      <c r="A51" s="22"/>
      <c r="B51" s="53"/>
      <c r="D51" s="155"/>
      <c r="E51" s="58"/>
      <c r="F51" s="158"/>
      <c r="G51" s="66"/>
      <c r="H51" s="66"/>
      <c r="J51" s="67"/>
      <c r="K51" s="70"/>
      <c r="L51" s="172"/>
      <c r="M51" s="173"/>
      <c r="N51" s="174"/>
      <c r="O51" s="67"/>
      <c r="R51" s="67"/>
    </row>
    <row r="52" spans="1:18" x14ac:dyDescent="0.2">
      <c r="A52" s="22" t="s">
        <v>84</v>
      </c>
      <c r="C52" s="115" t="s">
        <v>99</v>
      </c>
      <c r="D52" s="116">
        <f>SUM(D7)</f>
        <v>3.8553999999999999</v>
      </c>
      <c r="E52" s="115"/>
      <c r="F52" s="117">
        <f>SUM(F7)</f>
        <v>45657</v>
      </c>
      <c r="G52" s="121">
        <v>1105621.54</v>
      </c>
      <c r="H52" s="118">
        <f>SUM(G52)</f>
        <v>1105621.54</v>
      </c>
      <c r="I52" s="118">
        <f>SUM(G52)</f>
        <v>1105621.54</v>
      </c>
      <c r="J52" s="121">
        <f>3683.26+3846.56</f>
        <v>7529.82</v>
      </c>
      <c r="K52" s="119">
        <f>SUM(J52+O52+P52+Q52)</f>
        <v>7529.82</v>
      </c>
      <c r="L52" s="172"/>
      <c r="M52" s="173"/>
      <c r="N52" s="174"/>
      <c r="R52" s="67"/>
    </row>
    <row r="53" spans="1:18" x14ac:dyDescent="0.2">
      <c r="A53" s="22"/>
      <c r="D53" s="155"/>
      <c r="E53" s="58"/>
      <c r="F53" s="158"/>
      <c r="G53" s="67"/>
      <c r="H53" s="66"/>
      <c r="J53" s="67"/>
      <c r="K53" s="70"/>
      <c r="L53" s="172"/>
      <c r="M53" s="173"/>
      <c r="N53" s="174"/>
      <c r="R53" s="67"/>
    </row>
    <row r="54" spans="1:18" x14ac:dyDescent="0.2">
      <c r="A54" s="84"/>
      <c r="B54" s="85"/>
      <c r="C54" s="86"/>
      <c r="D54" s="87"/>
      <c r="E54" s="88"/>
      <c r="F54" s="27"/>
      <c r="G54" s="89"/>
      <c r="H54" s="89"/>
      <c r="I54" s="89"/>
      <c r="J54" s="90"/>
      <c r="L54" s="172"/>
      <c r="M54" s="173"/>
      <c r="N54" s="174"/>
      <c r="O54" s="90"/>
      <c r="P54" s="90"/>
      <c r="Q54" s="90"/>
      <c r="R54" s="190"/>
    </row>
    <row r="55" spans="1:18" ht="12" customHeight="1" x14ac:dyDescent="0.2">
      <c r="A55" s="22" t="s">
        <v>8</v>
      </c>
      <c r="C55" s="115" t="s">
        <v>99</v>
      </c>
      <c r="D55" s="116">
        <f>SUM(D7)</f>
        <v>3.8553999999999999</v>
      </c>
      <c r="E55" s="115"/>
      <c r="F55" s="117">
        <f>SUM(F7)</f>
        <v>45657</v>
      </c>
      <c r="G55" s="118">
        <v>2650092.06</v>
      </c>
      <c r="H55" s="118">
        <f>SUM(G55)</f>
        <v>2650092.06</v>
      </c>
      <c r="I55" s="118">
        <f>SUM(G55)</f>
        <v>2650092.06</v>
      </c>
      <c r="J55" s="121">
        <v>17517.98</v>
      </c>
      <c r="K55" s="119">
        <f>SUM(J55+O55+P55+Q55)</f>
        <v>17517.98</v>
      </c>
      <c r="L55" s="172"/>
      <c r="M55" s="173"/>
      <c r="N55" s="174"/>
      <c r="R55" s="67"/>
    </row>
    <row r="56" spans="1:18" ht="12" customHeight="1" x14ac:dyDescent="0.2">
      <c r="C56" s="58" t="s">
        <v>116</v>
      </c>
      <c r="D56" s="78">
        <v>5.14</v>
      </c>
      <c r="E56" t="s">
        <v>0</v>
      </c>
      <c r="F56" s="27">
        <f>SUM(F7)</f>
        <v>45657</v>
      </c>
      <c r="G56" s="64">
        <v>4865.42</v>
      </c>
      <c r="H56" s="63">
        <f>SUM(G56)</f>
        <v>4865.42</v>
      </c>
      <c r="I56" s="63">
        <f>SUM(G56)</f>
        <v>4865.42</v>
      </c>
      <c r="J56" s="64">
        <v>432.31</v>
      </c>
      <c r="K56" s="69">
        <f>SUM(J56+O56+P56+Q56)</f>
        <v>432.31</v>
      </c>
      <c r="L56" s="172"/>
      <c r="M56" s="173"/>
      <c r="N56" s="174"/>
      <c r="R56" s="67"/>
    </row>
    <row r="57" spans="1:18" ht="12" customHeight="1" x14ac:dyDescent="0.2">
      <c r="C57" s="115" t="s">
        <v>142</v>
      </c>
      <c r="D57" s="116">
        <v>4.3899999999999997</v>
      </c>
      <c r="E57" s="115" t="s">
        <v>0</v>
      </c>
      <c r="F57" s="117">
        <v>45916</v>
      </c>
      <c r="G57" s="121">
        <v>1035667.4</v>
      </c>
      <c r="H57" s="121">
        <v>1035667.4</v>
      </c>
      <c r="I57" s="121">
        <v>1035667.4</v>
      </c>
      <c r="J57" s="129">
        <v>996.51</v>
      </c>
      <c r="K57" s="119">
        <f>SUM(J57+O57+P57+Q57)</f>
        <v>996.51</v>
      </c>
      <c r="L57" s="172"/>
      <c r="M57" s="173"/>
      <c r="N57" s="174"/>
      <c r="R57" s="67"/>
    </row>
    <row r="58" spans="1:18" ht="12" customHeight="1" x14ac:dyDescent="0.2">
      <c r="C58" s="123" t="s">
        <v>142</v>
      </c>
      <c r="D58" s="124">
        <v>5.47</v>
      </c>
      <c r="E58" s="123"/>
      <c r="F58" s="125">
        <v>45646</v>
      </c>
      <c r="G58" s="126">
        <v>0</v>
      </c>
      <c r="H58" s="126">
        <v>0</v>
      </c>
      <c r="I58" s="126">
        <v>0</v>
      </c>
      <c r="J58" s="126">
        <v>13787.4</v>
      </c>
      <c r="K58" s="151">
        <f>SUM(J58+O58+P58+Q58)</f>
        <v>13787.4</v>
      </c>
      <c r="L58" s="172">
        <v>35667.4</v>
      </c>
      <c r="M58" s="173"/>
      <c r="N58" s="174">
        <v>1000000</v>
      </c>
      <c r="R58" s="67"/>
    </row>
    <row r="59" spans="1:18" ht="12" customHeight="1" x14ac:dyDescent="0.2">
      <c r="D59" s="78"/>
      <c r="F59" s="27"/>
      <c r="H59" s="64"/>
      <c r="I59" s="64"/>
      <c r="L59" s="172"/>
      <c r="M59" s="173"/>
      <c r="N59" s="174"/>
      <c r="R59" s="67"/>
    </row>
    <row r="60" spans="1:18" ht="12" customHeight="1" x14ac:dyDescent="0.2">
      <c r="D60" s="78"/>
      <c r="F60" s="27"/>
      <c r="H60" s="64"/>
      <c r="I60" s="64"/>
      <c r="L60" s="172"/>
      <c r="M60" s="173"/>
      <c r="N60" s="174"/>
      <c r="R60" s="67"/>
    </row>
    <row r="61" spans="1:18" s="88" customFormat="1" x14ac:dyDescent="0.2">
      <c r="A61" s="22" t="s">
        <v>194</v>
      </c>
      <c r="B61" s="52"/>
      <c r="C61" s="115" t="s">
        <v>99</v>
      </c>
      <c r="D61" s="116">
        <f>SUM(D7)</f>
        <v>3.8553999999999999</v>
      </c>
      <c r="E61" s="115"/>
      <c r="F61" s="117">
        <f>SUM(F7)</f>
        <v>45657</v>
      </c>
      <c r="G61" s="118">
        <v>1905509.42</v>
      </c>
      <c r="H61" s="118">
        <f>SUM(G61)</f>
        <v>1905509.42</v>
      </c>
      <c r="I61" s="118">
        <f>SUM(G61)</f>
        <v>1905509.42</v>
      </c>
      <c r="J61" s="129" t="s">
        <v>131</v>
      </c>
      <c r="K61" s="129" t="s">
        <v>131</v>
      </c>
      <c r="L61" s="196"/>
      <c r="M61" s="175"/>
      <c r="N61" s="197"/>
      <c r="O61" s="160" t="s">
        <v>131</v>
      </c>
      <c r="P61" s="160" t="s">
        <v>131</v>
      </c>
      <c r="Q61" s="160" t="s">
        <v>131</v>
      </c>
      <c r="R61" s="160" t="s">
        <v>131</v>
      </c>
    </row>
    <row r="62" spans="1:18" ht="12" customHeight="1" x14ac:dyDescent="0.2">
      <c r="A62" s="22"/>
      <c r="B62" s="62"/>
      <c r="D62" s="78"/>
      <c r="F62" s="27"/>
      <c r="G62" s="65"/>
      <c r="H62" s="65"/>
      <c r="I62" s="65"/>
      <c r="J62" s="65"/>
      <c r="L62" s="172"/>
      <c r="M62" s="173"/>
      <c r="N62" s="174"/>
      <c r="O62" s="65"/>
      <c r="P62" s="65"/>
      <c r="Q62" s="65"/>
      <c r="R62" s="162"/>
    </row>
    <row r="63" spans="1:18" ht="12" customHeight="1" x14ac:dyDescent="0.2">
      <c r="A63" s="22"/>
      <c r="B63" s="62"/>
      <c r="D63" s="78"/>
      <c r="F63" s="27"/>
      <c r="G63" s="65"/>
      <c r="H63" s="65"/>
      <c r="I63" s="65"/>
      <c r="J63" s="65"/>
      <c r="L63" s="172"/>
      <c r="M63" s="173"/>
      <c r="N63" s="174"/>
      <c r="O63" s="65"/>
      <c r="P63" s="65"/>
      <c r="Q63" s="65"/>
      <c r="R63" s="162"/>
    </row>
    <row r="64" spans="1:18" s="22" customFormat="1" ht="14.25" customHeight="1" x14ac:dyDescent="0.2">
      <c r="A64" s="22" t="s">
        <v>9</v>
      </c>
      <c r="B64" s="53"/>
      <c r="C64" s="115" t="s">
        <v>99</v>
      </c>
      <c r="D64" s="116">
        <f>SUM(D7)</f>
        <v>3.8553999999999999</v>
      </c>
      <c r="E64" s="115"/>
      <c r="F64" s="117">
        <f>SUM(F7)</f>
        <v>45657</v>
      </c>
      <c r="G64" s="118">
        <v>1467123.9</v>
      </c>
      <c r="H64" s="118">
        <f>SUM(G64)</f>
        <v>1467123.9</v>
      </c>
      <c r="I64" s="118">
        <f>SUM(G64)</f>
        <v>1467123.9</v>
      </c>
      <c r="J64" s="121">
        <v>13627.89</v>
      </c>
      <c r="K64" s="119">
        <f>SUM(J64+O64+P64+Q64)</f>
        <v>13627.89</v>
      </c>
      <c r="L64" s="172"/>
      <c r="M64" s="173"/>
      <c r="N64" s="174"/>
      <c r="O64" s="64"/>
      <c r="P64" s="64"/>
      <c r="Q64" s="64"/>
      <c r="R64" s="67"/>
    </row>
    <row r="65" spans="1:18" ht="12" customHeight="1" x14ac:dyDescent="0.2">
      <c r="A65" s="22"/>
      <c r="B65" s="62"/>
      <c r="D65" s="78"/>
      <c r="F65" s="27"/>
      <c r="G65" s="65"/>
      <c r="H65" s="65"/>
      <c r="I65" s="65"/>
      <c r="J65" s="65"/>
      <c r="L65" s="172"/>
      <c r="M65" s="173"/>
      <c r="N65" s="174"/>
      <c r="O65" s="65"/>
      <c r="P65" s="65"/>
      <c r="Q65" s="65"/>
      <c r="R65" s="162"/>
    </row>
    <row r="66" spans="1:18" ht="12" customHeight="1" x14ac:dyDescent="0.2">
      <c r="A66" s="22"/>
      <c r="B66" s="62"/>
      <c r="D66" s="78"/>
      <c r="F66" s="27"/>
      <c r="G66" s="65"/>
      <c r="H66" s="65"/>
      <c r="I66" s="65"/>
      <c r="J66" s="65"/>
      <c r="L66" s="172"/>
      <c r="M66" s="173"/>
      <c r="N66" s="174"/>
      <c r="O66" s="65"/>
      <c r="P66" s="65"/>
      <c r="Q66" s="65"/>
      <c r="R66" s="162"/>
    </row>
    <row r="67" spans="1:18" x14ac:dyDescent="0.2">
      <c r="A67" s="22" t="s">
        <v>28</v>
      </c>
      <c r="C67" s="115" t="s">
        <v>99</v>
      </c>
      <c r="D67" s="116">
        <f>SUM(D7)</f>
        <v>3.8553999999999999</v>
      </c>
      <c r="E67" s="115"/>
      <c r="F67" s="117">
        <f>SUM(F7)</f>
        <v>45657</v>
      </c>
      <c r="G67" s="118">
        <v>61259.29</v>
      </c>
      <c r="H67" s="118">
        <f>SUM(G67)</f>
        <v>61259.29</v>
      </c>
      <c r="I67" s="118">
        <f>SUM(G67)</f>
        <v>61259.29</v>
      </c>
      <c r="J67" s="121">
        <v>618.23</v>
      </c>
      <c r="K67" s="119">
        <f>SUM(J67+O67+P67+Q67)</f>
        <v>618.23</v>
      </c>
      <c r="L67" s="172"/>
      <c r="M67" s="173"/>
      <c r="N67" s="174"/>
      <c r="R67" s="67"/>
    </row>
    <row r="68" spans="1:18" x14ac:dyDescent="0.2">
      <c r="A68" s="22"/>
      <c r="D68" s="78"/>
      <c r="F68" s="27"/>
      <c r="G68" s="63"/>
      <c r="H68" s="63"/>
      <c r="I68" s="63"/>
      <c r="L68" s="172"/>
      <c r="M68" s="173"/>
      <c r="N68" s="174"/>
      <c r="R68" s="67"/>
    </row>
    <row r="69" spans="1:18" x14ac:dyDescent="0.2">
      <c r="A69" s="22"/>
      <c r="D69" s="78"/>
      <c r="F69" s="27"/>
      <c r="G69" s="63"/>
      <c r="H69" s="63"/>
      <c r="I69" s="63"/>
      <c r="L69" s="172"/>
      <c r="M69" s="173"/>
      <c r="N69" s="174"/>
      <c r="R69" s="67"/>
    </row>
    <row r="70" spans="1:18" s="58" customFormat="1" x14ac:dyDescent="0.2">
      <c r="A70" s="22"/>
      <c r="B70" s="62"/>
      <c r="D70" s="78"/>
      <c r="E70"/>
      <c r="F70" s="27"/>
      <c r="G70" s="64"/>
      <c r="H70" s="64"/>
      <c r="I70" s="64"/>
      <c r="J70" s="64"/>
      <c r="K70" s="69"/>
      <c r="L70" s="172"/>
      <c r="M70" s="173"/>
      <c r="N70" s="174"/>
      <c r="O70" s="64"/>
      <c r="P70" s="64"/>
      <c r="Q70" s="64"/>
      <c r="R70" s="67"/>
    </row>
    <row r="71" spans="1:18" x14ac:dyDescent="0.2">
      <c r="A71" s="22" t="s">
        <v>13</v>
      </c>
      <c r="C71" s="115" t="s">
        <v>99</v>
      </c>
      <c r="D71" s="116">
        <f>SUM(D7)</f>
        <v>3.8553999999999999</v>
      </c>
      <c r="E71" s="115"/>
      <c r="F71" s="117">
        <f>SUM(F7)</f>
        <v>45657</v>
      </c>
      <c r="G71" s="118">
        <v>3496061.79</v>
      </c>
      <c r="H71" s="118">
        <f>SUM(G71)</f>
        <v>3496061.79</v>
      </c>
      <c r="I71" s="118">
        <f>SUM(G71)</f>
        <v>3496061.79</v>
      </c>
      <c r="J71" s="121">
        <v>18665.439999999999</v>
      </c>
      <c r="K71" s="119">
        <f>SUM(J71+O71+P71+Q71)</f>
        <v>18665.439999999999</v>
      </c>
      <c r="L71" s="172"/>
      <c r="M71" s="173"/>
      <c r="N71" s="174"/>
      <c r="R71" s="67"/>
    </row>
    <row r="72" spans="1:18" ht="12" customHeight="1" x14ac:dyDescent="0.2">
      <c r="A72" s="22"/>
      <c r="B72" s="62"/>
      <c r="D72" s="78"/>
      <c r="F72" s="27"/>
      <c r="G72" s="65"/>
      <c r="H72" s="65"/>
      <c r="I72" s="65"/>
      <c r="J72" s="65"/>
      <c r="L72" s="172"/>
      <c r="M72" s="173"/>
      <c r="N72" s="174"/>
      <c r="O72" s="65"/>
      <c r="P72" s="65"/>
      <c r="Q72" s="65"/>
      <c r="R72" s="162"/>
    </row>
    <row r="73" spans="1:18" ht="12" customHeight="1" x14ac:dyDescent="0.2">
      <c r="A73" s="22"/>
      <c r="B73" s="62"/>
      <c r="D73" s="78"/>
      <c r="F73" s="27"/>
      <c r="G73" s="65"/>
      <c r="H73" s="65"/>
      <c r="I73" s="65"/>
      <c r="J73" s="65"/>
      <c r="L73" s="172"/>
      <c r="M73" s="173"/>
      <c r="N73" s="174"/>
      <c r="O73" s="65"/>
      <c r="P73" s="65"/>
      <c r="Q73" s="65"/>
      <c r="R73" s="162"/>
    </row>
    <row r="74" spans="1:18" ht="12" customHeight="1" x14ac:dyDescent="0.2">
      <c r="A74" s="22" t="s">
        <v>7</v>
      </c>
      <c r="C74" s="115" t="s">
        <v>99</v>
      </c>
      <c r="D74" s="116">
        <f>SUM(D7)</f>
        <v>3.8553999999999999</v>
      </c>
      <c r="E74" s="115"/>
      <c r="F74" s="117">
        <f>SUM(F7)</f>
        <v>45657</v>
      </c>
      <c r="G74" s="121">
        <v>62507.69</v>
      </c>
      <c r="H74" s="118">
        <f>SUM(G74)</f>
        <v>62507.69</v>
      </c>
      <c r="I74" s="118">
        <f>SUM(G74)</f>
        <v>62507.69</v>
      </c>
      <c r="J74" s="121">
        <v>728.11</v>
      </c>
      <c r="K74" s="119">
        <f>SUM(J74+O74+P74+Q74)</f>
        <v>728.11</v>
      </c>
      <c r="L74" s="172"/>
      <c r="M74" s="173"/>
      <c r="N74" s="174"/>
      <c r="R74" s="67"/>
    </row>
    <row r="75" spans="1:18" ht="12" customHeight="1" x14ac:dyDescent="0.2">
      <c r="C75" s="58" t="s">
        <v>116</v>
      </c>
      <c r="D75" s="78">
        <v>4.5</v>
      </c>
      <c r="F75" s="27">
        <f>SUM(F7)</f>
        <v>45657</v>
      </c>
      <c r="G75" s="64">
        <v>9302.75</v>
      </c>
      <c r="H75" s="63">
        <f>SUM(G75)</f>
        <v>9302.75</v>
      </c>
      <c r="I75" s="63">
        <f>SUM(G75)</f>
        <v>9302.75</v>
      </c>
      <c r="J75" s="64">
        <v>672.16</v>
      </c>
      <c r="K75" s="69">
        <f>SUM(J75+O75+P75+Q75)</f>
        <v>672.16</v>
      </c>
      <c r="L75" s="172"/>
      <c r="M75" s="173"/>
      <c r="N75" s="174"/>
      <c r="R75" s="67"/>
    </row>
    <row r="76" spans="1:18" ht="12" customHeight="1" x14ac:dyDescent="0.2">
      <c r="C76" s="115" t="s">
        <v>144</v>
      </c>
      <c r="D76" s="116">
        <v>4.6900000000000004</v>
      </c>
      <c r="E76" s="115"/>
      <c r="F76" s="117">
        <f>SUM(F7)</f>
        <v>45657</v>
      </c>
      <c r="G76" s="121">
        <v>442178.38</v>
      </c>
      <c r="H76" s="118">
        <f>SUM(G76)</f>
        <v>442178.38</v>
      </c>
      <c r="I76" s="118">
        <f>SUM(G76)</f>
        <v>442178.38</v>
      </c>
      <c r="J76" s="121">
        <v>5376.42</v>
      </c>
      <c r="K76" s="119">
        <f>SUM(J76+O76+P76+Q76)</f>
        <v>5376.42</v>
      </c>
      <c r="L76" s="172"/>
      <c r="M76" s="173"/>
      <c r="N76" s="174"/>
      <c r="R76" s="67"/>
    </row>
    <row r="77" spans="1:18" ht="12" customHeight="1" x14ac:dyDescent="0.2">
      <c r="C77" s="58" t="s">
        <v>142</v>
      </c>
      <c r="D77" s="155">
        <v>4.3899999999999997</v>
      </c>
      <c r="E77" s="58"/>
      <c r="F77" s="158">
        <v>45916</v>
      </c>
      <c r="G77" s="67">
        <v>1553501.1</v>
      </c>
      <c r="H77" s="67">
        <v>1553501.1</v>
      </c>
      <c r="I77" s="67">
        <v>1553501.1</v>
      </c>
      <c r="J77" s="67">
        <v>1494.77</v>
      </c>
      <c r="K77" s="70">
        <f>SUM(J77+O77+P77+Q77)</f>
        <v>1494.77</v>
      </c>
      <c r="L77" s="172"/>
      <c r="M77" s="173"/>
      <c r="N77" s="174"/>
      <c r="O77" s="71"/>
      <c r="P77" s="71"/>
      <c r="R77" s="67"/>
    </row>
    <row r="78" spans="1:18" ht="12" customHeight="1" x14ac:dyDescent="0.2">
      <c r="A78" s="58"/>
      <c r="B78" s="62"/>
      <c r="C78" s="123" t="s">
        <v>142</v>
      </c>
      <c r="D78" s="124">
        <v>5.47</v>
      </c>
      <c r="E78" s="123"/>
      <c r="F78" s="125">
        <v>45646</v>
      </c>
      <c r="G78" s="183">
        <v>0</v>
      </c>
      <c r="H78" s="183">
        <v>0</v>
      </c>
      <c r="I78" s="183">
        <v>0</v>
      </c>
      <c r="J78" s="126">
        <v>20681.099999999999</v>
      </c>
      <c r="K78" s="151">
        <f>SUM(J78+O78+P78+Q78)</f>
        <v>20681.099999999999</v>
      </c>
      <c r="L78" s="198">
        <v>53501.1</v>
      </c>
      <c r="M78" s="199"/>
      <c r="N78" s="200">
        <v>1500000</v>
      </c>
      <c r="R78" s="67"/>
    </row>
    <row r="79" spans="1:18" ht="12" customHeight="1" x14ac:dyDescent="0.2">
      <c r="A79" s="58"/>
      <c r="B79" s="62"/>
      <c r="D79" s="155"/>
      <c r="E79" s="58"/>
      <c r="F79" s="158"/>
      <c r="G79" s="67"/>
      <c r="I79" s="67"/>
      <c r="J79" s="67"/>
      <c r="K79" s="70"/>
      <c r="L79" s="176"/>
      <c r="M79" s="176"/>
      <c r="N79" s="176"/>
      <c r="O79" s="160"/>
      <c r="P79" s="160"/>
    </row>
    <row r="80" spans="1:18" ht="12" customHeight="1" x14ac:dyDescent="0.2">
      <c r="A80" s="58"/>
      <c r="B80" s="62"/>
      <c r="D80" s="155"/>
      <c r="E80" s="58"/>
      <c r="F80" s="158"/>
      <c r="G80" s="67"/>
      <c r="I80" s="67"/>
      <c r="J80" s="67"/>
      <c r="K80" s="70"/>
      <c r="L80" s="176"/>
      <c r="M80" s="176"/>
      <c r="N80" s="176"/>
      <c r="O80" s="160"/>
      <c r="P80" s="160"/>
    </row>
    <row r="81" spans="1:16" ht="12" customHeight="1" x14ac:dyDescent="0.2">
      <c r="A81" s="58"/>
      <c r="B81" s="62"/>
      <c r="D81" s="155"/>
      <c r="E81" s="58"/>
      <c r="F81" s="158"/>
      <c r="G81" s="67"/>
      <c r="I81" s="67"/>
      <c r="J81" s="67"/>
      <c r="K81" s="70"/>
      <c r="L81" s="176"/>
      <c r="M81" s="176"/>
      <c r="N81" s="176"/>
      <c r="O81" s="160"/>
      <c r="P81" s="160"/>
    </row>
    <row r="82" spans="1:16" ht="12" customHeight="1" x14ac:dyDescent="0.2">
      <c r="A82" s="58"/>
      <c r="B82" s="62"/>
      <c r="D82" s="155"/>
      <c r="E82" s="58"/>
      <c r="F82" s="158"/>
      <c r="G82" s="67"/>
      <c r="I82" s="67"/>
      <c r="J82" s="67"/>
      <c r="K82" s="70"/>
      <c r="L82" s="176"/>
      <c r="M82" s="176"/>
      <c r="N82" s="176"/>
      <c r="O82" s="160"/>
      <c r="P82" s="160"/>
    </row>
    <row r="83" spans="1:16" ht="12" customHeight="1" x14ac:dyDescent="0.2">
      <c r="A83" s="58"/>
      <c r="B83" s="62"/>
      <c r="D83" s="155"/>
      <c r="E83" s="58"/>
      <c r="F83" s="158"/>
      <c r="G83" s="67"/>
      <c r="I83" s="67"/>
      <c r="J83" s="67"/>
      <c r="K83" s="70"/>
      <c r="L83" s="176"/>
      <c r="M83" s="176"/>
      <c r="N83" s="176"/>
      <c r="O83" s="160"/>
      <c r="P83" s="160"/>
    </row>
    <row r="84" spans="1:16" ht="12" customHeight="1" x14ac:dyDescent="0.2">
      <c r="A84" s="58"/>
      <c r="B84" s="62"/>
      <c r="D84" s="155"/>
      <c r="E84" s="58"/>
      <c r="F84" s="158"/>
      <c r="G84" s="67"/>
      <c r="I84" s="67"/>
      <c r="J84" s="67"/>
      <c r="K84" s="70"/>
      <c r="L84" s="176"/>
      <c r="M84" s="176"/>
      <c r="N84" s="176"/>
      <c r="O84" s="160"/>
      <c r="P84" s="160"/>
    </row>
    <row r="85" spans="1:16" ht="12" customHeight="1" x14ac:dyDescent="0.2">
      <c r="A85" s="58"/>
      <c r="B85" s="62"/>
      <c r="D85" s="155"/>
      <c r="E85" s="58"/>
      <c r="F85" s="158"/>
      <c r="G85" s="67"/>
      <c r="I85" s="67"/>
      <c r="J85" s="67"/>
      <c r="K85" s="70"/>
      <c r="L85" s="176"/>
      <c r="M85" s="176"/>
      <c r="N85" s="176"/>
      <c r="O85" s="160"/>
      <c r="P85" s="160"/>
    </row>
    <row r="86" spans="1:16" ht="12" customHeight="1" x14ac:dyDescent="0.2">
      <c r="A86" s="58"/>
      <c r="B86" s="62"/>
      <c r="D86" s="155"/>
      <c r="E86" s="58"/>
      <c r="F86" s="158"/>
      <c r="G86" s="67"/>
      <c r="I86" s="67"/>
      <c r="J86" s="67"/>
      <c r="K86" s="70"/>
      <c r="L86" s="176"/>
      <c r="M86" s="176"/>
      <c r="N86" s="176"/>
      <c r="O86" s="160"/>
      <c r="P86" s="160"/>
    </row>
    <row r="87" spans="1:16" ht="12" customHeight="1" x14ac:dyDescent="0.2">
      <c r="A87" s="58"/>
      <c r="B87" s="62"/>
      <c r="D87" s="155"/>
      <c r="E87" s="58"/>
      <c r="F87" s="158"/>
      <c r="G87" s="67"/>
      <c r="I87" s="67"/>
      <c r="J87" s="67"/>
      <c r="K87" s="70"/>
      <c r="L87" s="176"/>
      <c r="M87" s="176"/>
      <c r="N87" s="176"/>
      <c r="O87" s="160"/>
      <c r="P87" s="160"/>
    </row>
    <row r="88" spans="1:16" ht="12" customHeight="1" x14ac:dyDescent="0.2">
      <c r="A88" s="58"/>
      <c r="B88" s="62"/>
      <c r="D88" s="155"/>
      <c r="E88" s="58"/>
      <c r="F88" s="158"/>
      <c r="G88" s="67"/>
      <c r="I88" s="67"/>
      <c r="J88" s="67"/>
      <c r="K88" s="70"/>
      <c r="L88" s="176"/>
      <c r="M88" s="176"/>
      <c r="N88" s="176"/>
      <c r="O88" s="160"/>
      <c r="P88" s="160"/>
    </row>
    <row r="89" spans="1:16" ht="12" customHeight="1" x14ac:dyDescent="0.2">
      <c r="A89" s="58"/>
      <c r="B89" s="62"/>
      <c r="D89" s="155"/>
      <c r="E89" s="58"/>
      <c r="F89" s="158"/>
      <c r="G89" s="67"/>
      <c r="I89" s="67"/>
      <c r="J89" s="67"/>
      <c r="K89" s="70"/>
      <c r="L89" s="176"/>
      <c r="M89" s="176"/>
      <c r="N89" s="176"/>
      <c r="O89" s="160"/>
      <c r="P89" s="160"/>
    </row>
    <row r="90" spans="1:16" ht="12" customHeight="1" x14ac:dyDescent="0.2">
      <c r="A90" s="58"/>
      <c r="B90" s="62"/>
      <c r="D90" s="155"/>
      <c r="E90" s="58"/>
      <c r="F90" s="158"/>
      <c r="G90" s="67"/>
      <c r="I90" s="67"/>
      <c r="J90" s="67"/>
      <c r="K90" s="70"/>
      <c r="L90" s="176"/>
      <c r="M90" s="176"/>
      <c r="N90" s="176"/>
      <c r="O90" s="160"/>
      <c r="P90" s="160"/>
    </row>
    <row r="91" spans="1:16" ht="12" customHeight="1" x14ac:dyDescent="0.2">
      <c r="A91" s="58"/>
      <c r="B91" s="62"/>
      <c r="D91" s="155"/>
      <c r="E91" s="58"/>
      <c r="F91" s="158"/>
      <c r="G91" s="67"/>
      <c r="I91" s="67"/>
      <c r="J91" s="67"/>
      <c r="K91" s="70"/>
      <c r="L91" s="176"/>
      <c r="M91" s="176"/>
      <c r="N91" s="176"/>
      <c r="O91" s="160"/>
      <c r="P91" s="160"/>
    </row>
    <row r="92" spans="1:16" ht="12" customHeight="1" x14ac:dyDescent="0.2">
      <c r="A92" s="58"/>
      <c r="B92" s="62"/>
      <c r="D92" s="155"/>
      <c r="E92" s="58"/>
      <c r="F92" s="158"/>
      <c r="G92" s="67"/>
      <c r="I92" s="67"/>
      <c r="J92" s="67"/>
      <c r="K92" s="70"/>
      <c r="L92" s="176"/>
      <c r="M92" s="176"/>
      <c r="N92" s="176"/>
      <c r="O92" s="160"/>
      <c r="P92" s="160"/>
    </row>
    <row r="93" spans="1:16" ht="12" customHeight="1" x14ac:dyDescent="0.2">
      <c r="A93" s="58"/>
      <c r="B93" s="62"/>
      <c r="D93" s="155"/>
      <c r="E93" s="58"/>
      <c r="F93" s="158"/>
      <c r="G93" s="67"/>
      <c r="I93" s="67"/>
      <c r="J93" s="67"/>
      <c r="K93" s="70"/>
      <c r="L93" s="176"/>
      <c r="M93" s="176"/>
      <c r="N93" s="176"/>
      <c r="O93" s="160"/>
      <c r="P93" s="160"/>
    </row>
    <row r="94" spans="1:16" ht="12" customHeight="1" x14ac:dyDescent="0.2">
      <c r="A94" s="58"/>
      <c r="B94" s="62"/>
      <c r="D94" s="155"/>
      <c r="E94" s="58"/>
      <c r="F94" s="158"/>
      <c r="G94" s="67"/>
      <c r="I94" s="67"/>
      <c r="J94" s="67"/>
      <c r="K94" s="70"/>
      <c r="L94" s="176"/>
      <c r="M94" s="176"/>
      <c r="N94" s="176"/>
      <c r="O94" s="160"/>
      <c r="P94" s="160"/>
    </row>
    <row r="95" spans="1:16" ht="12" customHeight="1" x14ac:dyDescent="0.2">
      <c r="A95" s="58"/>
      <c r="B95" s="62"/>
      <c r="D95" s="155"/>
      <c r="E95" s="58"/>
      <c r="F95" s="158"/>
      <c r="G95" s="67"/>
      <c r="I95" s="67"/>
      <c r="J95" s="67"/>
      <c r="K95" s="70"/>
      <c r="L95" s="176"/>
      <c r="M95" s="176"/>
      <c r="N95" s="176"/>
      <c r="O95" s="160"/>
      <c r="P95" s="160"/>
    </row>
    <row r="96" spans="1:16" ht="12" customHeight="1" x14ac:dyDescent="0.2">
      <c r="A96" s="58"/>
      <c r="B96" s="62"/>
      <c r="D96" s="155"/>
      <c r="E96" s="58"/>
      <c r="F96" s="158"/>
      <c r="G96" s="67"/>
      <c r="I96" s="67"/>
      <c r="J96" s="67"/>
      <c r="K96" s="70"/>
      <c r="L96" s="176"/>
      <c r="M96" s="176"/>
      <c r="N96" s="176"/>
      <c r="O96" s="160"/>
      <c r="P96" s="160"/>
    </row>
    <row r="97" spans="1:18" ht="12" customHeight="1" x14ac:dyDescent="0.2">
      <c r="A97" s="58"/>
      <c r="B97" s="62"/>
      <c r="D97" s="155"/>
      <c r="E97" s="58"/>
      <c r="F97" s="158"/>
      <c r="G97" s="67"/>
      <c r="I97" s="67"/>
      <c r="J97" s="67"/>
      <c r="K97" s="70"/>
      <c r="L97" s="176"/>
      <c r="M97" s="176"/>
      <c r="N97" s="176"/>
      <c r="O97" s="160"/>
      <c r="P97" s="160"/>
    </row>
    <row r="98" spans="1:18" s="22" customFormat="1" ht="11.25" customHeight="1" x14ac:dyDescent="0.2">
      <c r="A98" s="22" t="s">
        <v>14</v>
      </c>
      <c r="B98" s="52"/>
      <c r="C98" s="56" t="s">
        <v>106</v>
      </c>
      <c r="D98" s="113"/>
      <c r="F98" s="249" t="s">
        <v>198</v>
      </c>
      <c r="G98" s="91">
        <f>SUM(G99:G132)</f>
        <v>17273867.379999999</v>
      </c>
      <c r="H98" s="91">
        <f>SUM(H99:H132)</f>
        <v>17273867.379999999</v>
      </c>
      <c r="I98" s="91">
        <f>SUM(I99:I132)</f>
        <v>17273867.379999999</v>
      </c>
      <c r="J98" s="91">
        <f>SUM(J99:J132)</f>
        <v>78925.640000000014</v>
      </c>
      <c r="K98" s="93">
        <f>SUM(J98+O98+P98+Q98)</f>
        <v>78925.640000000014</v>
      </c>
      <c r="L98" s="195"/>
      <c r="M98" s="195"/>
      <c r="N98" s="195"/>
      <c r="O98" s="92"/>
      <c r="P98" s="92"/>
      <c r="Q98" s="92"/>
      <c r="R98" s="92"/>
    </row>
    <row r="99" spans="1:18" s="22" customFormat="1" ht="11.25" customHeight="1" x14ac:dyDescent="0.2">
      <c r="A99" s="40"/>
      <c r="B99" s="62"/>
      <c r="C99" s="73" t="s">
        <v>195</v>
      </c>
      <c r="D99" s="155">
        <f>SUM(D7)</f>
        <v>3.8553999999999999</v>
      </c>
      <c r="E99" s="254"/>
      <c r="F99" s="158">
        <f>SUM(F7)</f>
        <v>45657</v>
      </c>
      <c r="G99" s="191">
        <v>2692147.98</v>
      </c>
      <c r="H99" s="157">
        <f>SUM(G99)</f>
        <v>2692147.98</v>
      </c>
      <c r="I99" s="66">
        <f t="shared" ref="I99:I106" si="5">SUM(G99)</f>
        <v>2692147.98</v>
      </c>
      <c r="J99" s="191">
        <v>15640.24</v>
      </c>
      <c r="K99" s="70">
        <f>SUM(J99+O99+P99+Q99)</f>
        <v>15640.24</v>
      </c>
      <c r="L99" s="259"/>
      <c r="M99" s="259"/>
      <c r="N99" s="259"/>
      <c r="O99" s="31"/>
      <c r="P99" s="31"/>
      <c r="Q99" s="31"/>
      <c r="R99" s="191"/>
    </row>
    <row r="100" spans="1:18" s="22" customFormat="1" ht="11.25" customHeight="1" x14ac:dyDescent="0.2">
      <c r="A100" s="74" t="s">
        <v>30</v>
      </c>
      <c r="B100" s="138"/>
      <c r="C100" s="130" t="s">
        <v>31</v>
      </c>
      <c r="D100" s="131">
        <f>SUM(D7)</f>
        <v>3.8553999999999999</v>
      </c>
      <c r="E100" s="136"/>
      <c r="F100" s="132">
        <f>SUM(F99)</f>
        <v>45657</v>
      </c>
      <c r="G100" s="133">
        <v>165675.70000000001</v>
      </c>
      <c r="H100" s="134">
        <f>SUM(G100)</f>
        <v>165675.70000000001</v>
      </c>
      <c r="I100" s="134">
        <f t="shared" si="5"/>
        <v>165675.70000000001</v>
      </c>
      <c r="J100" s="133">
        <v>972.69</v>
      </c>
      <c r="K100" s="135">
        <f>SUM(J100+O100+P100+Q100)</f>
        <v>972.69</v>
      </c>
      <c r="L100" s="259"/>
      <c r="M100" s="259"/>
      <c r="N100" s="259"/>
      <c r="O100" s="31"/>
      <c r="P100" s="31"/>
      <c r="Q100" s="31"/>
      <c r="R100" s="191"/>
    </row>
    <row r="101" spans="1:18" s="22" customFormat="1" ht="11.25" customHeight="1" x14ac:dyDescent="0.2">
      <c r="A101" s="40"/>
      <c r="B101" s="52"/>
      <c r="C101" s="73" t="s">
        <v>104</v>
      </c>
      <c r="D101" s="155">
        <f>SUM(D7)</f>
        <v>3.8553999999999999</v>
      </c>
      <c r="E101" s="75"/>
      <c r="F101" s="27">
        <f>SUM(F99)</f>
        <v>45657</v>
      </c>
      <c r="G101" s="31">
        <v>20491.5</v>
      </c>
      <c r="H101" s="63">
        <f t="shared" ref="H101:H106" si="6">SUM(G101)</f>
        <v>20491.5</v>
      </c>
      <c r="I101" s="63">
        <f t="shared" si="5"/>
        <v>20491.5</v>
      </c>
      <c r="J101" s="31" t="s">
        <v>132</v>
      </c>
      <c r="K101" s="31" t="s">
        <v>132</v>
      </c>
      <c r="L101" s="260"/>
      <c r="M101" s="260"/>
      <c r="N101" s="260"/>
      <c r="O101" s="31" t="s">
        <v>199</v>
      </c>
      <c r="P101" s="31" t="s">
        <v>199</v>
      </c>
      <c r="Q101" s="31" t="s">
        <v>199</v>
      </c>
      <c r="R101" s="31" t="s">
        <v>199</v>
      </c>
    </row>
    <row r="102" spans="1:18" s="22" customFormat="1" ht="11.25" customHeight="1" x14ac:dyDescent="0.2">
      <c r="A102" s="26"/>
      <c r="B102" s="138"/>
      <c r="C102" s="130" t="s">
        <v>83</v>
      </c>
      <c r="D102" s="131">
        <f>SUM(D7)</f>
        <v>3.8553999999999999</v>
      </c>
      <c r="E102" s="136"/>
      <c r="F102" s="132">
        <f>SUM(F99)</f>
        <v>45657</v>
      </c>
      <c r="G102" s="137">
        <v>474550.22</v>
      </c>
      <c r="H102" s="134">
        <f t="shared" si="6"/>
        <v>474550.22</v>
      </c>
      <c r="I102" s="134">
        <f t="shared" si="5"/>
        <v>474550.22</v>
      </c>
      <c r="J102" s="133">
        <v>2966.49</v>
      </c>
      <c r="K102" s="135">
        <f>SUM(J102+O102+P102+Q102)</f>
        <v>2966.49</v>
      </c>
      <c r="L102" s="259"/>
      <c r="M102" s="259"/>
      <c r="N102" s="259"/>
      <c r="O102" s="31"/>
      <c r="P102" s="31"/>
      <c r="Q102" s="31"/>
      <c r="R102" s="191"/>
    </row>
    <row r="103" spans="1:18" s="22" customFormat="1" ht="11.25" customHeight="1" x14ac:dyDescent="0.2">
      <c r="A103" s="40"/>
      <c r="B103" s="52"/>
      <c r="C103" s="73" t="s">
        <v>32</v>
      </c>
      <c r="D103" s="155">
        <f>SUM(D7)</f>
        <v>3.8553999999999999</v>
      </c>
      <c r="E103" s="75"/>
      <c r="F103" s="27">
        <f>SUM(F99)</f>
        <v>45657</v>
      </c>
      <c r="G103" s="76">
        <v>230955.88</v>
      </c>
      <c r="H103" s="63">
        <f t="shared" si="6"/>
        <v>230955.88</v>
      </c>
      <c r="I103" s="63">
        <f t="shared" si="5"/>
        <v>230955.88</v>
      </c>
      <c r="J103" s="31">
        <v>3395.97</v>
      </c>
      <c r="K103" s="70">
        <f>SUM(J103+O103+P103+Q103)</f>
        <v>3395.97</v>
      </c>
      <c r="L103" s="259"/>
      <c r="M103" s="259"/>
      <c r="N103" s="259"/>
      <c r="O103" s="31"/>
      <c r="P103" s="31"/>
      <c r="Q103" s="31"/>
      <c r="R103" s="191"/>
    </row>
    <row r="104" spans="1:18" s="22" customFormat="1" ht="11.25" customHeight="1" x14ac:dyDescent="0.2">
      <c r="A104" s="40"/>
      <c r="B104" s="138"/>
      <c r="C104" s="130" t="s">
        <v>121</v>
      </c>
      <c r="D104" s="131">
        <f>SUM(D7)</f>
        <v>3.8553999999999999</v>
      </c>
      <c r="E104" s="136"/>
      <c r="F104" s="132">
        <f>SUM(F99)</f>
        <v>45657</v>
      </c>
      <c r="G104" s="137">
        <v>174190.41</v>
      </c>
      <c r="H104" s="134">
        <f t="shared" si="6"/>
        <v>174190.41</v>
      </c>
      <c r="I104" s="134">
        <f t="shared" si="5"/>
        <v>174190.41</v>
      </c>
      <c r="J104" s="133" t="s">
        <v>132</v>
      </c>
      <c r="K104" s="133" t="s">
        <v>199</v>
      </c>
      <c r="L104" s="260"/>
      <c r="M104" s="260"/>
      <c r="N104" s="260"/>
      <c r="O104" s="31" t="s">
        <v>199</v>
      </c>
      <c r="P104" s="31" t="s">
        <v>199</v>
      </c>
      <c r="Q104" s="31" t="s">
        <v>199</v>
      </c>
      <c r="R104" s="31" t="s">
        <v>199</v>
      </c>
    </row>
    <row r="105" spans="1:18" s="22" customFormat="1" ht="11.25" customHeight="1" x14ac:dyDescent="0.2">
      <c r="A105" s="40"/>
      <c r="B105" s="52"/>
      <c r="C105" s="38" t="s">
        <v>122</v>
      </c>
      <c r="D105" s="155">
        <f>SUM(D7)</f>
        <v>3.8553999999999999</v>
      </c>
      <c r="E105" s="29"/>
      <c r="F105" s="27">
        <f>SUM(F99)</f>
        <v>45657</v>
      </c>
      <c r="G105" s="19">
        <v>498872.16</v>
      </c>
      <c r="H105" s="63">
        <f t="shared" si="6"/>
        <v>498872.16</v>
      </c>
      <c r="I105" s="63">
        <f t="shared" si="5"/>
        <v>498872.16</v>
      </c>
      <c r="J105" s="31" t="s">
        <v>132</v>
      </c>
      <c r="K105" s="31" t="s">
        <v>199</v>
      </c>
      <c r="L105" s="260"/>
      <c r="M105" s="260"/>
      <c r="N105" s="260"/>
      <c r="O105" s="31" t="s">
        <v>199</v>
      </c>
      <c r="P105" s="31" t="s">
        <v>199</v>
      </c>
      <c r="Q105" s="31" t="s">
        <v>199</v>
      </c>
      <c r="R105" s="31" t="s">
        <v>199</v>
      </c>
    </row>
    <row r="106" spans="1:18" s="22" customFormat="1" ht="11.25" customHeight="1" x14ac:dyDescent="0.2">
      <c r="A106" s="40"/>
      <c r="B106" s="138"/>
      <c r="C106" s="130" t="s">
        <v>123</v>
      </c>
      <c r="D106" s="131">
        <f>SUM(D7)</f>
        <v>3.8553999999999999</v>
      </c>
      <c r="E106" s="136"/>
      <c r="F106" s="132">
        <f>SUM(F99)</f>
        <v>45657</v>
      </c>
      <c r="G106" s="137">
        <v>125</v>
      </c>
      <c r="H106" s="134">
        <f t="shared" si="6"/>
        <v>125</v>
      </c>
      <c r="I106" s="134">
        <f t="shared" si="5"/>
        <v>125</v>
      </c>
      <c r="J106" s="133" t="s">
        <v>132</v>
      </c>
      <c r="K106" s="133" t="s">
        <v>199</v>
      </c>
      <c r="L106" s="260"/>
      <c r="M106" s="260"/>
      <c r="N106" s="260"/>
      <c r="O106" s="31" t="s">
        <v>199</v>
      </c>
      <c r="P106" s="31" t="s">
        <v>199</v>
      </c>
      <c r="Q106" s="31" t="s">
        <v>199</v>
      </c>
      <c r="R106" s="31" t="s">
        <v>199</v>
      </c>
    </row>
    <row r="107" spans="1:18" s="22" customFormat="1" ht="11.25" customHeight="1" x14ac:dyDescent="0.2">
      <c r="A107" s="40"/>
      <c r="B107" s="52"/>
      <c r="C107" s="73" t="s">
        <v>125</v>
      </c>
      <c r="D107" s="155">
        <f>SUM(D7)</f>
        <v>3.8553999999999999</v>
      </c>
      <c r="E107" s="75"/>
      <c r="F107" s="27">
        <f>SUM(F99)</f>
        <v>45657</v>
      </c>
      <c r="G107" s="19">
        <v>9554.09</v>
      </c>
      <c r="H107" s="63">
        <f>SUM(G107)</f>
        <v>9554.09</v>
      </c>
      <c r="I107" s="63">
        <f>SUM(G107)</f>
        <v>9554.09</v>
      </c>
      <c r="J107" s="31" t="s">
        <v>132</v>
      </c>
      <c r="K107" s="31" t="s">
        <v>199</v>
      </c>
      <c r="L107" s="260"/>
      <c r="M107" s="260"/>
      <c r="N107" s="260"/>
      <c r="O107" s="31" t="s">
        <v>199</v>
      </c>
      <c r="P107" s="31" t="s">
        <v>199</v>
      </c>
      <c r="Q107" s="31" t="s">
        <v>199</v>
      </c>
      <c r="R107" s="31" t="s">
        <v>199</v>
      </c>
    </row>
    <row r="108" spans="1:18" s="22" customFormat="1" ht="11.25" customHeight="1" x14ac:dyDescent="0.2">
      <c r="A108" s="40"/>
      <c r="B108" s="138"/>
      <c r="C108" s="130" t="s">
        <v>124</v>
      </c>
      <c r="D108" s="131">
        <f>SUM(D7)</f>
        <v>3.8553999999999999</v>
      </c>
      <c r="E108" s="136"/>
      <c r="F108" s="132">
        <f>SUM(F99)</f>
        <v>45657</v>
      </c>
      <c r="G108" s="137">
        <v>2479.5100000000002</v>
      </c>
      <c r="H108" s="134">
        <f>SUM(G108)</f>
        <v>2479.5100000000002</v>
      </c>
      <c r="I108" s="134">
        <f>SUM(G108)</f>
        <v>2479.5100000000002</v>
      </c>
      <c r="J108" s="133" t="s">
        <v>132</v>
      </c>
      <c r="K108" s="133" t="s">
        <v>199</v>
      </c>
      <c r="L108" s="260"/>
      <c r="M108" s="260"/>
      <c r="N108" s="260"/>
      <c r="O108" s="31" t="s">
        <v>199</v>
      </c>
      <c r="P108" s="31" t="s">
        <v>199</v>
      </c>
      <c r="Q108" s="31" t="s">
        <v>199</v>
      </c>
      <c r="R108" s="31" t="s">
        <v>199</v>
      </c>
    </row>
    <row r="109" spans="1:18" s="22" customFormat="1" ht="11.25" customHeight="1" x14ac:dyDescent="0.2">
      <c r="A109" s="40"/>
      <c r="B109" s="52"/>
      <c r="C109" s="73" t="s">
        <v>126</v>
      </c>
      <c r="D109" s="155">
        <f>SUM(D7)</f>
        <v>3.8553999999999999</v>
      </c>
      <c r="E109" s="75"/>
      <c r="F109" s="27">
        <f>SUM(F99)</f>
        <v>45657</v>
      </c>
      <c r="G109" s="19">
        <v>0</v>
      </c>
      <c r="H109" s="19">
        <v>0</v>
      </c>
      <c r="I109" s="19">
        <v>0</v>
      </c>
      <c r="J109" s="31" t="s">
        <v>132</v>
      </c>
      <c r="K109" s="31" t="s">
        <v>199</v>
      </c>
      <c r="L109" s="260"/>
      <c r="M109" s="260"/>
      <c r="N109" s="260"/>
      <c r="O109" s="31" t="s">
        <v>199</v>
      </c>
      <c r="P109" s="31" t="s">
        <v>199</v>
      </c>
      <c r="Q109" s="31" t="s">
        <v>199</v>
      </c>
      <c r="R109" s="31" t="s">
        <v>199</v>
      </c>
    </row>
    <row r="110" spans="1:18" s="22" customFormat="1" ht="11.25" customHeight="1" x14ac:dyDescent="0.2">
      <c r="A110" s="40"/>
      <c r="B110" s="138"/>
      <c r="C110" s="130" t="s">
        <v>127</v>
      </c>
      <c r="D110" s="131">
        <f>SUM(D7)</f>
        <v>3.8553999999999999</v>
      </c>
      <c r="E110" s="136"/>
      <c r="F110" s="132">
        <f>SUM(F99)</f>
        <v>45657</v>
      </c>
      <c r="G110" s="137">
        <v>9798.17</v>
      </c>
      <c r="H110" s="134">
        <f t="shared" ref="H110:H122" si="7">SUM(G110)</f>
        <v>9798.17</v>
      </c>
      <c r="I110" s="134">
        <f t="shared" ref="I110:I122" si="8">SUM(G110)</f>
        <v>9798.17</v>
      </c>
      <c r="J110" s="133" t="s">
        <v>132</v>
      </c>
      <c r="K110" s="133" t="s">
        <v>199</v>
      </c>
      <c r="L110" s="260"/>
      <c r="M110" s="260"/>
      <c r="N110" s="260"/>
      <c r="O110" s="31" t="s">
        <v>199</v>
      </c>
      <c r="P110" s="31" t="s">
        <v>199</v>
      </c>
      <c r="Q110" s="31" t="s">
        <v>199</v>
      </c>
      <c r="R110" s="31" t="s">
        <v>199</v>
      </c>
    </row>
    <row r="111" spans="1:18" s="22" customFormat="1" ht="11.25" customHeight="1" x14ac:dyDescent="0.2">
      <c r="A111" s="40"/>
      <c r="B111" s="52"/>
      <c r="C111" s="73" t="s">
        <v>128</v>
      </c>
      <c r="D111" s="155">
        <f>SUM(D7)</f>
        <v>3.8553999999999999</v>
      </c>
      <c r="E111" s="75"/>
      <c r="F111" s="27">
        <f>SUM(F99)</f>
        <v>45657</v>
      </c>
      <c r="G111" s="19">
        <v>397303.55</v>
      </c>
      <c r="H111" s="63">
        <f t="shared" si="7"/>
        <v>397303.55</v>
      </c>
      <c r="I111" s="63">
        <f t="shared" si="8"/>
        <v>397303.55</v>
      </c>
      <c r="J111" s="31" t="s">
        <v>132</v>
      </c>
      <c r="K111" s="31" t="s">
        <v>199</v>
      </c>
      <c r="L111" s="260"/>
      <c r="M111" s="260"/>
      <c r="N111" s="260"/>
      <c r="O111" s="31" t="s">
        <v>199</v>
      </c>
      <c r="P111" s="31" t="s">
        <v>199</v>
      </c>
      <c r="Q111" s="31" t="s">
        <v>199</v>
      </c>
      <c r="R111" s="31" t="s">
        <v>199</v>
      </c>
    </row>
    <row r="112" spans="1:18" s="22" customFormat="1" ht="11.25" customHeight="1" x14ac:dyDescent="0.2">
      <c r="A112" s="40"/>
      <c r="B112" s="138"/>
      <c r="C112" s="130" t="s">
        <v>155</v>
      </c>
      <c r="D112" s="131">
        <f>SUM(D7)</f>
        <v>3.8553999999999999</v>
      </c>
      <c r="E112" s="136"/>
      <c r="F112" s="132">
        <f>SUM(F99)</f>
        <v>45657</v>
      </c>
      <c r="G112" s="137">
        <v>8922.8799999999992</v>
      </c>
      <c r="H112" s="134">
        <f t="shared" si="7"/>
        <v>8922.8799999999992</v>
      </c>
      <c r="I112" s="134">
        <f t="shared" si="8"/>
        <v>8922.8799999999992</v>
      </c>
      <c r="J112" s="133" t="s">
        <v>132</v>
      </c>
      <c r="K112" s="133" t="s">
        <v>199</v>
      </c>
      <c r="L112" s="259"/>
      <c r="M112" s="259"/>
      <c r="N112" s="259"/>
      <c r="O112" s="31" t="s">
        <v>199</v>
      </c>
      <c r="P112" s="31" t="s">
        <v>199</v>
      </c>
      <c r="Q112" s="31" t="s">
        <v>199</v>
      </c>
      <c r="R112" s="31" t="s">
        <v>199</v>
      </c>
    </row>
    <row r="113" spans="1:18" s="22" customFormat="1" ht="11.25" customHeight="1" x14ac:dyDescent="0.2">
      <c r="A113" s="74"/>
      <c r="B113" s="79"/>
      <c r="C113" s="38" t="s">
        <v>33</v>
      </c>
      <c r="D113" s="155">
        <f>SUM(D7)</f>
        <v>3.8553999999999999</v>
      </c>
      <c r="E113" s="29"/>
      <c r="F113" s="27">
        <f>SUM(F99)</f>
        <v>45657</v>
      </c>
      <c r="G113" s="19">
        <v>287431.2</v>
      </c>
      <c r="H113" s="63">
        <f t="shared" si="7"/>
        <v>287431.2</v>
      </c>
      <c r="I113" s="63">
        <f t="shared" si="8"/>
        <v>287431.2</v>
      </c>
      <c r="J113" s="31">
        <v>1955.45</v>
      </c>
      <c r="K113" s="69">
        <f>SUM(J113+O113+P113+Q113)</f>
        <v>1955.45</v>
      </c>
      <c r="L113" s="259"/>
      <c r="M113" s="259"/>
      <c r="N113" s="259"/>
      <c r="O113" s="31"/>
      <c r="P113" s="31"/>
      <c r="Q113" s="31"/>
      <c r="R113" s="191"/>
    </row>
    <row r="114" spans="1:18" s="22" customFormat="1" ht="11.25" customHeight="1" x14ac:dyDescent="0.2">
      <c r="A114" s="74"/>
      <c r="B114" s="138"/>
      <c r="C114" s="130" t="s">
        <v>109</v>
      </c>
      <c r="D114" s="131">
        <f>SUM(D7)</f>
        <v>3.8553999999999999</v>
      </c>
      <c r="E114" s="136"/>
      <c r="F114" s="132">
        <f>SUM(F99)</f>
        <v>45657</v>
      </c>
      <c r="G114" s="137">
        <v>76664.86</v>
      </c>
      <c r="H114" s="134">
        <f t="shared" si="7"/>
        <v>76664.86</v>
      </c>
      <c r="I114" s="134">
        <f t="shared" si="8"/>
        <v>76664.86</v>
      </c>
      <c r="J114" s="133">
        <v>522.15</v>
      </c>
      <c r="K114" s="135">
        <f>SUM(J114+O114+P114+Q114)</f>
        <v>522.15</v>
      </c>
      <c r="L114" s="259"/>
      <c r="M114" s="259"/>
      <c r="N114" s="259"/>
      <c r="O114" s="31"/>
      <c r="P114" s="31"/>
      <c r="Q114" s="31"/>
      <c r="R114" s="191"/>
    </row>
    <row r="115" spans="1:18" s="22" customFormat="1" ht="11.25" customHeight="1" x14ac:dyDescent="0.2">
      <c r="A115" s="74"/>
      <c r="B115" s="79"/>
      <c r="C115" s="38" t="s">
        <v>129</v>
      </c>
      <c r="D115" s="155">
        <f>SUM(D7)</f>
        <v>3.8553999999999999</v>
      </c>
      <c r="E115" s="75"/>
      <c r="F115" s="27">
        <f>SUM(F99)</f>
        <v>45657</v>
      </c>
      <c r="G115" s="95">
        <v>34917.300000000003</v>
      </c>
      <c r="H115" s="63">
        <f t="shared" si="7"/>
        <v>34917.300000000003</v>
      </c>
      <c r="I115" s="63">
        <f t="shared" si="8"/>
        <v>34917.300000000003</v>
      </c>
      <c r="J115" s="31" t="s">
        <v>132</v>
      </c>
      <c r="K115" s="31" t="s">
        <v>199</v>
      </c>
      <c r="L115" s="260"/>
      <c r="M115" s="260"/>
      <c r="N115" s="260"/>
      <c r="O115" s="31" t="s">
        <v>199</v>
      </c>
      <c r="P115" s="31" t="s">
        <v>199</v>
      </c>
      <c r="Q115" s="31" t="s">
        <v>199</v>
      </c>
      <c r="R115" s="31" t="s">
        <v>199</v>
      </c>
    </row>
    <row r="116" spans="1:18" s="22" customFormat="1" ht="11.25" customHeight="1" x14ac:dyDescent="0.2">
      <c r="A116" s="40"/>
      <c r="B116" s="138"/>
      <c r="C116" s="130" t="s">
        <v>34</v>
      </c>
      <c r="D116" s="131">
        <f>SUM(D7)</f>
        <v>3.8553999999999999</v>
      </c>
      <c r="E116" s="136"/>
      <c r="F116" s="132">
        <f>SUM(F99)</f>
        <v>45657</v>
      </c>
      <c r="G116" s="137">
        <v>290572.64</v>
      </c>
      <c r="H116" s="134">
        <f t="shared" si="7"/>
        <v>290572.64</v>
      </c>
      <c r="I116" s="134">
        <f t="shared" si="8"/>
        <v>290572.64</v>
      </c>
      <c r="J116" s="133">
        <v>2094.64</v>
      </c>
      <c r="K116" s="135">
        <f t="shared" ref="K116:K122" si="9">SUM(J116+O116+P116+Q116)</f>
        <v>2094.64</v>
      </c>
      <c r="L116" s="259"/>
      <c r="M116" s="259"/>
      <c r="N116" s="259"/>
      <c r="O116" s="31"/>
      <c r="P116" s="31"/>
      <c r="Q116" s="31"/>
      <c r="R116" s="191"/>
    </row>
    <row r="117" spans="1:18" s="22" customFormat="1" ht="11.25" customHeight="1" x14ac:dyDescent="0.2">
      <c r="A117" s="40"/>
      <c r="B117" s="52"/>
      <c r="C117" s="73" t="s">
        <v>130</v>
      </c>
      <c r="D117" s="155">
        <f>SUM(D7)</f>
        <v>3.8553999999999999</v>
      </c>
      <c r="E117" s="75"/>
      <c r="F117" s="27">
        <f>SUM(F99)</f>
        <v>45657</v>
      </c>
      <c r="G117" s="95">
        <v>148119.76999999999</v>
      </c>
      <c r="H117" s="63">
        <f t="shared" si="7"/>
        <v>148119.76999999999</v>
      </c>
      <c r="I117" s="63">
        <f t="shared" si="8"/>
        <v>148119.76999999999</v>
      </c>
      <c r="J117" s="31">
        <v>915.62</v>
      </c>
      <c r="K117" s="70">
        <f t="shared" si="9"/>
        <v>915.62</v>
      </c>
      <c r="L117" s="259"/>
      <c r="M117" s="259"/>
      <c r="N117" s="259"/>
      <c r="O117" s="31"/>
      <c r="P117" s="31"/>
      <c r="Q117" s="31"/>
      <c r="R117" s="191"/>
    </row>
    <row r="118" spans="1:18" s="22" customFormat="1" ht="11.25" customHeight="1" x14ac:dyDescent="0.2">
      <c r="A118" s="40"/>
      <c r="B118" s="139"/>
      <c r="C118" s="130" t="s">
        <v>112</v>
      </c>
      <c r="D118" s="131">
        <f>SUM(D7)</f>
        <v>3.8553999999999999</v>
      </c>
      <c r="E118" s="136"/>
      <c r="F118" s="132">
        <f>SUM(F99)</f>
        <v>45657</v>
      </c>
      <c r="G118" s="137">
        <v>1122639.25</v>
      </c>
      <c r="H118" s="134">
        <f t="shared" si="7"/>
        <v>1122639.25</v>
      </c>
      <c r="I118" s="134">
        <f t="shared" si="8"/>
        <v>1122639.25</v>
      </c>
      <c r="J118" s="133">
        <f>2830.84+3961.47+9.62</f>
        <v>6801.9299999999994</v>
      </c>
      <c r="K118" s="135">
        <f t="shared" si="9"/>
        <v>6801.9299999999994</v>
      </c>
      <c r="L118" s="259"/>
      <c r="M118" s="259"/>
      <c r="N118" s="259"/>
      <c r="O118" s="31"/>
      <c r="P118" s="31"/>
      <c r="Q118" s="31"/>
      <c r="R118" s="191"/>
    </row>
    <row r="119" spans="1:18" s="22" customFormat="1" ht="11.25" customHeight="1" x14ac:dyDescent="0.2">
      <c r="A119" s="40"/>
      <c r="B119" s="72"/>
      <c r="C119" s="73" t="s">
        <v>35</v>
      </c>
      <c r="D119" s="155">
        <f>SUM(D7)</f>
        <v>3.8553999999999999</v>
      </c>
      <c r="E119" s="75"/>
      <c r="F119" s="27">
        <f>SUM(F99)</f>
        <v>45657</v>
      </c>
      <c r="G119" s="76">
        <v>756.01</v>
      </c>
      <c r="H119" s="63">
        <f t="shared" si="7"/>
        <v>756.01</v>
      </c>
      <c r="I119" s="63">
        <f t="shared" si="8"/>
        <v>756.01</v>
      </c>
      <c r="J119" s="31">
        <v>5.08</v>
      </c>
      <c r="K119" s="70">
        <f t="shared" si="9"/>
        <v>5.08</v>
      </c>
      <c r="L119" s="259"/>
      <c r="M119" s="259"/>
      <c r="N119" s="259"/>
      <c r="O119" s="31"/>
      <c r="P119" s="31"/>
      <c r="Q119" s="31"/>
      <c r="R119" s="191"/>
    </row>
    <row r="120" spans="1:18" s="22" customFormat="1" ht="11.25" customHeight="1" x14ac:dyDescent="0.2">
      <c r="A120" s="40"/>
      <c r="B120" s="138"/>
      <c r="C120" s="130" t="s">
        <v>200</v>
      </c>
      <c r="D120" s="131">
        <f>SUM(D7)</f>
        <v>3.8553999999999999</v>
      </c>
      <c r="E120" s="136"/>
      <c r="F120" s="132">
        <f>SUM(F111)</f>
        <v>45657</v>
      </c>
      <c r="G120" s="137">
        <v>5419.14</v>
      </c>
      <c r="H120" s="134">
        <f>SUM(G120)</f>
        <v>5419.14</v>
      </c>
      <c r="I120" s="134">
        <f>SUM(G120)</f>
        <v>5419.14</v>
      </c>
      <c r="J120" s="133" t="s">
        <v>132</v>
      </c>
      <c r="K120" s="133" t="s">
        <v>199</v>
      </c>
      <c r="L120" s="260"/>
      <c r="M120" s="260"/>
      <c r="N120" s="260"/>
      <c r="O120" s="31" t="s">
        <v>199</v>
      </c>
      <c r="P120" s="31" t="s">
        <v>199</v>
      </c>
      <c r="Q120" s="31" t="s">
        <v>199</v>
      </c>
      <c r="R120" s="31" t="s">
        <v>199</v>
      </c>
    </row>
    <row r="121" spans="1:18" s="22" customFormat="1" ht="11.25" customHeight="1" x14ac:dyDescent="0.2">
      <c r="A121" s="40"/>
      <c r="B121" s="255"/>
      <c r="C121" s="73" t="s">
        <v>36</v>
      </c>
      <c r="D121" s="155">
        <f>SUM(D7)</f>
        <v>3.8553999999999999</v>
      </c>
      <c r="E121" s="75"/>
      <c r="F121" s="158">
        <f>SUM(F99)</f>
        <v>45657</v>
      </c>
      <c r="G121" s="191">
        <v>234472.47</v>
      </c>
      <c r="H121" s="66">
        <f t="shared" si="7"/>
        <v>234472.47</v>
      </c>
      <c r="I121" s="66">
        <f t="shared" si="8"/>
        <v>234472.47</v>
      </c>
      <c r="J121" s="191">
        <v>1561.51</v>
      </c>
      <c r="K121" s="70">
        <f t="shared" si="9"/>
        <v>1561.51</v>
      </c>
      <c r="L121" s="259"/>
      <c r="M121" s="259"/>
      <c r="N121" s="259"/>
      <c r="O121" s="31"/>
      <c r="P121" s="31"/>
      <c r="Q121" s="31"/>
      <c r="R121" s="191"/>
    </row>
    <row r="122" spans="1:18" s="22" customFormat="1" ht="11.25" customHeight="1" x14ac:dyDescent="0.2">
      <c r="A122" s="40"/>
      <c r="B122" s="139"/>
      <c r="C122" s="130" t="s">
        <v>107</v>
      </c>
      <c r="D122" s="131">
        <f>SUM(D7)</f>
        <v>3.8553999999999999</v>
      </c>
      <c r="E122" s="136"/>
      <c r="F122" s="132">
        <f>SUM(F99)</f>
        <v>45657</v>
      </c>
      <c r="G122" s="137">
        <v>7672176.5899999999</v>
      </c>
      <c r="H122" s="134">
        <f t="shared" si="7"/>
        <v>7672176.5899999999</v>
      </c>
      <c r="I122" s="134">
        <f t="shared" si="8"/>
        <v>7672176.5899999999</v>
      </c>
      <c r="J122" s="133">
        <v>23031.56</v>
      </c>
      <c r="K122" s="135">
        <f t="shared" si="9"/>
        <v>23031.56</v>
      </c>
      <c r="L122" s="259"/>
      <c r="M122" s="259"/>
      <c r="N122" s="259"/>
      <c r="O122" s="31"/>
      <c r="P122" s="31"/>
      <c r="Q122" s="31"/>
      <c r="R122" s="191"/>
    </row>
    <row r="123" spans="1:18" s="22" customFormat="1" ht="11.25" customHeight="1" x14ac:dyDescent="0.2">
      <c r="A123" s="40"/>
      <c r="B123" s="255"/>
      <c r="C123" s="73" t="s">
        <v>76</v>
      </c>
      <c r="D123" s="155">
        <f>SUM(D7)</f>
        <v>3.8553999999999999</v>
      </c>
      <c r="E123" s="75"/>
      <c r="F123" s="158">
        <f>SUM(F99)</f>
        <v>45657</v>
      </c>
      <c r="G123" s="95">
        <v>0</v>
      </c>
      <c r="H123" s="95">
        <f>SUM(G123)</f>
        <v>0</v>
      </c>
      <c r="I123" s="95">
        <f>SUM(G123)</f>
        <v>0</v>
      </c>
      <c r="J123" s="191" t="s">
        <v>132</v>
      </c>
      <c r="K123" s="191" t="s">
        <v>199</v>
      </c>
      <c r="L123" s="260"/>
      <c r="M123" s="260"/>
      <c r="N123" s="260"/>
      <c r="O123" s="31" t="s">
        <v>199</v>
      </c>
      <c r="P123" s="31" t="s">
        <v>199</v>
      </c>
      <c r="Q123" s="31" t="s">
        <v>199</v>
      </c>
      <c r="R123" s="31" t="s">
        <v>199</v>
      </c>
    </row>
    <row r="124" spans="1:18" s="22" customFormat="1" ht="11.25" customHeight="1" x14ac:dyDescent="0.2">
      <c r="A124" s="40"/>
      <c r="B124" s="139"/>
      <c r="C124" s="130" t="s">
        <v>70</v>
      </c>
      <c r="D124" s="131">
        <f>SUM(D7)</f>
        <v>3.8553999999999999</v>
      </c>
      <c r="E124" s="136"/>
      <c r="F124" s="132">
        <f>SUM(F99)</f>
        <v>45657</v>
      </c>
      <c r="G124" s="137">
        <v>0</v>
      </c>
      <c r="H124" s="137">
        <f>SUM(G124)</f>
        <v>0</v>
      </c>
      <c r="I124" s="137">
        <f>SUM(G124)</f>
        <v>0</v>
      </c>
      <c r="J124" s="133" t="s">
        <v>132</v>
      </c>
      <c r="K124" s="133" t="s">
        <v>199</v>
      </c>
      <c r="L124" s="260"/>
      <c r="M124" s="260"/>
      <c r="N124" s="260"/>
      <c r="O124" s="31" t="s">
        <v>199</v>
      </c>
      <c r="P124" s="31" t="s">
        <v>199</v>
      </c>
      <c r="Q124" s="31" t="s">
        <v>199</v>
      </c>
      <c r="R124" s="31" t="s">
        <v>199</v>
      </c>
    </row>
    <row r="125" spans="1:18" ht="11.25" customHeight="1" x14ac:dyDescent="0.2">
      <c r="A125" s="40"/>
      <c r="B125" s="256"/>
      <c r="C125" s="73" t="s">
        <v>37</v>
      </c>
      <c r="D125" s="155">
        <f>SUM(D7)</f>
        <v>3.8553999999999999</v>
      </c>
      <c r="E125" s="75"/>
      <c r="F125" s="158">
        <f>SUM(F99)</f>
        <v>45657</v>
      </c>
      <c r="G125" s="95">
        <v>-39806.5</v>
      </c>
      <c r="H125" s="66">
        <f t="shared" ref="H125:H132" si="10">SUM(G125)</f>
        <v>-39806.5</v>
      </c>
      <c r="I125" s="66">
        <f t="shared" ref="I125:I132" si="11">SUM(G125)</f>
        <v>-39806.5</v>
      </c>
      <c r="J125" s="191" t="s">
        <v>132</v>
      </c>
      <c r="K125" s="191" t="s">
        <v>199</v>
      </c>
      <c r="L125" s="260"/>
      <c r="M125" s="260"/>
      <c r="N125" s="260"/>
      <c r="O125" s="31" t="s">
        <v>199</v>
      </c>
      <c r="P125" s="31" t="s">
        <v>199</v>
      </c>
      <c r="Q125" s="31" t="s">
        <v>199</v>
      </c>
      <c r="R125" s="31" t="s">
        <v>199</v>
      </c>
    </row>
    <row r="126" spans="1:18" ht="11.25" customHeight="1" x14ac:dyDescent="0.2">
      <c r="A126" s="40"/>
      <c r="B126" s="139"/>
      <c r="C126" s="130" t="s">
        <v>202</v>
      </c>
      <c r="D126" s="131">
        <f>SUM(D7)</f>
        <v>3.8553999999999999</v>
      </c>
      <c r="E126" s="136"/>
      <c r="F126" s="132">
        <f>SUM(F99)</f>
        <v>45657</v>
      </c>
      <c r="G126" s="137">
        <v>339065.74</v>
      </c>
      <c r="H126" s="134">
        <f t="shared" si="10"/>
        <v>339065.74</v>
      </c>
      <c r="I126" s="134">
        <f t="shared" si="11"/>
        <v>339065.74</v>
      </c>
      <c r="J126" s="133">
        <v>1223.3</v>
      </c>
      <c r="K126" s="135">
        <f>SUM(J126+O126+P126+Q126)</f>
        <v>1223.3</v>
      </c>
      <c r="L126" s="259"/>
      <c r="M126" s="259"/>
      <c r="N126" s="259"/>
      <c r="O126" s="31"/>
      <c r="P126" s="31"/>
      <c r="Q126" s="31"/>
      <c r="R126" s="191"/>
    </row>
    <row r="127" spans="1:18" ht="11.25" customHeight="1" x14ac:dyDescent="0.2">
      <c r="A127" s="40"/>
      <c r="B127" s="255"/>
      <c r="C127" s="73" t="s">
        <v>38</v>
      </c>
      <c r="D127" s="155">
        <f>SUM(D7)</f>
        <v>3.8553999999999999</v>
      </c>
      <c r="E127" s="75"/>
      <c r="F127" s="158">
        <f>SUM(F99)</f>
        <v>45657</v>
      </c>
      <c r="G127" s="95">
        <v>214831.98</v>
      </c>
      <c r="H127" s="66">
        <f t="shared" si="10"/>
        <v>214831.98</v>
      </c>
      <c r="I127" s="66">
        <f t="shared" si="11"/>
        <v>214831.98</v>
      </c>
      <c r="J127" s="191" t="s">
        <v>132</v>
      </c>
      <c r="K127" s="191" t="s">
        <v>199</v>
      </c>
      <c r="L127" s="260"/>
      <c r="M127" s="260"/>
      <c r="N127" s="260"/>
      <c r="O127" s="31" t="s">
        <v>199</v>
      </c>
      <c r="P127" s="31" t="s">
        <v>199</v>
      </c>
      <c r="Q127" s="31" t="s">
        <v>199</v>
      </c>
      <c r="R127" s="31" t="s">
        <v>199</v>
      </c>
    </row>
    <row r="128" spans="1:18" ht="11.25" customHeight="1" x14ac:dyDescent="0.2">
      <c r="A128" s="40"/>
      <c r="B128" s="257"/>
      <c r="C128" s="130" t="s">
        <v>39</v>
      </c>
      <c r="D128" s="131">
        <f>SUM(D7)</f>
        <v>3.8553999999999999</v>
      </c>
      <c r="E128" s="136"/>
      <c r="F128" s="132">
        <f>SUM(F99)</f>
        <v>45657</v>
      </c>
      <c r="G128" s="137">
        <v>41442.25</v>
      </c>
      <c r="H128" s="134">
        <f t="shared" si="10"/>
        <v>41442.25</v>
      </c>
      <c r="I128" s="134">
        <f t="shared" si="11"/>
        <v>41442.25</v>
      </c>
      <c r="J128" s="133">
        <v>282.26</v>
      </c>
      <c r="K128" s="135">
        <f>SUM(J128+O128+P128+Q128)</f>
        <v>282.26</v>
      </c>
      <c r="L128" s="259"/>
      <c r="M128" s="259"/>
      <c r="N128" s="259"/>
      <c r="O128" s="31"/>
      <c r="P128" s="31"/>
      <c r="Q128" s="31"/>
      <c r="R128" s="191"/>
    </row>
    <row r="129" spans="1:20" ht="11.25" customHeight="1" x14ac:dyDescent="0.2">
      <c r="A129" s="40"/>
      <c r="B129" s="255"/>
      <c r="C129" s="73" t="s">
        <v>40</v>
      </c>
      <c r="D129" s="155">
        <f>SUM(D7)</f>
        <v>3.8553999999999999</v>
      </c>
      <c r="E129" s="75"/>
      <c r="F129" s="158">
        <f>SUM(F99)</f>
        <v>45657</v>
      </c>
      <c r="G129" s="95">
        <v>558667.13</v>
      </c>
      <c r="H129" s="66">
        <f t="shared" si="10"/>
        <v>558667.13</v>
      </c>
      <c r="I129" s="66">
        <f t="shared" si="11"/>
        <v>558667.13</v>
      </c>
      <c r="J129" s="191">
        <v>3733.59</v>
      </c>
      <c r="K129" s="70">
        <f>SUM(J129+O129+P129+Q129)</f>
        <v>3733.59</v>
      </c>
      <c r="L129" s="259"/>
      <c r="M129" s="259"/>
      <c r="N129" s="259"/>
      <c r="O129" s="31"/>
      <c r="P129" s="31"/>
      <c r="Q129" s="31"/>
      <c r="R129" s="191"/>
    </row>
    <row r="130" spans="1:20" ht="11.25" customHeight="1" x14ac:dyDescent="0.2">
      <c r="A130" s="74"/>
      <c r="B130" s="139"/>
      <c r="C130" s="130" t="s">
        <v>41</v>
      </c>
      <c r="D130" s="131">
        <f>SUM(D7)</f>
        <v>3.8553999999999999</v>
      </c>
      <c r="E130" s="136"/>
      <c r="F130" s="132">
        <f>SUM(F99)</f>
        <v>45657</v>
      </c>
      <c r="G130" s="137">
        <v>21051</v>
      </c>
      <c r="H130" s="134">
        <f t="shared" si="10"/>
        <v>21051</v>
      </c>
      <c r="I130" s="134">
        <f t="shared" si="11"/>
        <v>21051</v>
      </c>
      <c r="J130" s="133" t="s">
        <v>132</v>
      </c>
      <c r="K130" s="133" t="s">
        <v>199</v>
      </c>
      <c r="L130" s="260"/>
      <c r="M130" s="260"/>
      <c r="N130" s="260"/>
      <c r="O130" s="31" t="s">
        <v>199</v>
      </c>
      <c r="P130" s="31" t="s">
        <v>199</v>
      </c>
      <c r="Q130" s="31" t="s">
        <v>199</v>
      </c>
      <c r="R130" s="31" t="s">
        <v>199</v>
      </c>
    </row>
    <row r="131" spans="1:20" ht="11.25" customHeight="1" x14ac:dyDescent="0.2">
      <c r="A131" s="40"/>
      <c r="B131" s="255"/>
      <c r="C131" s="73" t="s">
        <v>42</v>
      </c>
      <c r="D131" s="155">
        <f>SUM(D7)</f>
        <v>3.8553999999999999</v>
      </c>
      <c r="E131" s="75"/>
      <c r="F131" s="158">
        <f>SUM(F99)</f>
        <v>45657</v>
      </c>
      <c r="G131" s="95">
        <v>1430127.03</v>
      </c>
      <c r="H131" s="66">
        <f t="shared" si="10"/>
        <v>1430127.03</v>
      </c>
      <c r="I131" s="66">
        <f t="shared" si="11"/>
        <v>1430127.03</v>
      </c>
      <c r="J131" s="191">
        <v>12463.91</v>
      </c>
      <c r="K131" s="70">
        <f>SUM(J131+O131+P131+Q131)</f>
        <v>12463.91</v>
      </c>
      <c r="L131" s="259"/>
      <c r="M131" s="259"/>
      <c r="N131" s="259"/>
      <c r="O131" s="31"/>
      <c r="P131" s="31"/>
      <c r="Q131" s="31"/>
      <c r="R131" s="191"/>
    </row>
    <row r="132" spans="1:20" s="26" customFormat="1" ht="11.25" customHeight="1" x14ac:dyDescent="0.2">
      <c r="A132" s="74"/>
      <c r="B132" s="139"/>
      <c r="C132" s="130" t="s">
        <v>201</v>
      </c>
      <c r="D132" s="131">
        <f>SUM(D7)</f>
        <v>3.8553999999999999</v>
      </c>
      <c r="E132" s="136"/>
      <c r="F132" s="132">
        <f>SUM(F99)</f>
        <v>45657</v>
      </c>
      <c r="G132" s="137">
        <v>150252.47</v>
      </c>
      <c r="H132" s="134">
        <f t="shared" si="10"/>
        <v>150252.47</v>
      </c>
      <c r="I132" s="134">
        <f t="shared" si="11"/>
        <v>150252.47</v>
      </c>
      <c r="J132" s="258">
        <v>1359.25</v>
      </c>
      <c r="K132" s="135">
        <f>SUM(J132+O132+P132+Q132)</f>
        <v>1359.25</v>
      </c>
      <c r="L132" s="259"/>
      <c r="M132" s="259"/>
      <c r="N132" s="259"/>
      <c r="O132" s="83"/>
      <c r="P132" s="83"/>
      <c r="Q132" s="83"/>
      <c r="R132" s="192"/>
    </row>
    <row r="133" spans="1:20" s="26" customFormat="1" ht="12" x14ac:dyDescent="0.2">
      <c r="A133" s="40"/>
      <c r="B133" s="72"/>
      <c r="C133" s="77"/>
      <c r="D133" s="114"/>
      <c r="F133" s="250" t="s">
        <v>198</v>
      </c>
      <c r="G133" s="251">
        <f>SUM(G99:G132)</f>
        <v>17273867.379999999</v>
      </c>
      <c r="H133" s="251">
        <f>SUM(H99:H132)</f>
        <v>17273867.379999999</v>
      </c>
      <c r="I133" s="251">
        <f>SUM(I99:I132)</f>
        <v>17273867.379999999</v>
      </c>
      <c r="J133" s="251">
        <f>SUM(J99:J132)</f>
        <v>78925.640000000014</v>
      </c>
      <c r="K133" s="252">
        <f>SUM(J133+O133+P133+Q133)</f>
        <v>78925.640000000014</v>
      </c>
      <c r="L133" s="261"/>
      <c r="M133" s="261"/>
      <c r="N133" s="261"/>
      <c r="O133" s="253">
        <f>SUM(O99:O132)</f>
        <v>0</v>
      </c>
      <c r="P133" s="253">
        <f>SUM(P99:P132)</f>
        <v>0</v>
      </c>
      <c r="Q133" s="253">
        <f>SUM(Q99:Q132)</f>
        <v>0</v>
      </c>
      <c r="R133" s="253">
        <f>SUM(R99:R132)</f>
        <v>0</v>
      </c>
    </row>
    <row r="134" spans="1:20" s="26" customFormat="1" x14ac:dyDescent="0.2">
      <c r="A134" s="40"/>
      <c r="B134" s="72"/>
      <c r="C134" s="77"/>
      <c r="D134" s="114"/>
      <c r="F134" s="30"/>
      <c r="G134" s="19"/>
      <c r="H134" s="19"/>
      <c r="I134" s="19"/>
      <c r="J134" s="19"/>
      <c r="K134" s="110"/>
      <c r="L134" s="176"/>
      <c r="M134" s="176"/>
      <c r="N134" s="176"/>
      <c r="O134" s="31"/>
      <c r="P134" s="31"/>
      <c r="Q134" s="31"/>
    </row>
    <row r="135" spans="1:20" s="26" customFormat="1" x14ac:dyDescent="0.2">
      <c r="A135" s="42" t="s">
        <v>162</v>
      </c>
      <c r="B135" s="98"/>
      <c r="C135" s="56"/>
      <c r="D135" s="111"/>
      <c r="E135" s="22"/>
      <c r="F135" s="37"/>
      <c r="G135" s="54">
        <f>SUM(G133,G30:G79)</f>
        <v>99809036.960000008</v>
      </c>
      <c r="H135" s="54">
        <f>SUM(H133,H30:H79)</f>
        <v>99776187.710000008</v>
      </c>
      <c r="I135" s="54">
        <f>SUM(I133,I30:I79)</f>
        <v>99809712.099999994</v>
      </c>
      <c r="J135" s="54">
        <f>SUM(J133,J30:J79)</f>
        <v>747864.62</v>
      </c>
      <c r="K135" s="99">
        <f>SUM(J135+O135+P135+Q135)</f>
        <v>747864.62</v>
      </c>
      <c r="L135" s="177"/>
      <c r="M135" s="177"/>
      <c r="N135" s="177"/>
      <c r="O135" s="54">
        <f>SUM(O133,O30:O79)</f>
        <v>0</v>
      </c>
      <c r="P135" s="54">
        <f>SUM(P133,P30:P79)</f>
        <v>0</v>
      </c>
      <c r="Q135" s="54">
        <f>SUM(Q133,Q30:Q79)</f>
        <v>0</v>
      </c>
      <c r="R135" s="54">
        <f>SUM(R133,R30:R79)</f>
        <v>0</v>
      </c>
      <c r="T135" s="241" t="s">
        <v>0</v>
      </c>
    </row>
    <row r="139" spans="1:20" x14ac:dyDescent="0.2">
      <c r="J139" s="71" t="s">
        <v>0</v>
      </c>
    </row>
    <row r="140" spans="1:20" x14ac:dyDescent="0.2">
      <c r="J140" s="71" t="s">
        <v>0</v>
      </c>
    </row>
    <row r="146" spans="7:7" x14ac:dyDescent="0.2">
      <c r="G146" s="64">
        <f>SUM(G99,G104:G112,G115,G117,G120,G122,G129,G131)</f>
        <v>13642820.709999999</v>
      </c>
    </row>
  </sheetData>
  <mergeCells count="4">
    <mergeCell ref="M4:M6"/>
    <mergeCell ref="N5:N6"/>
    <mergeCell ref="A1:N1"/>
    <mergeCell ref="L4:L6"/>
  </mergeCells>
  <phoneticPr fontId="5" type="noConversion"/>
  <pageMargins left="0.5" right="0.25" top="0.5" bottom="0.25" header="0" footer="0"/>
  <pageSetup paperSize="5" scale="91" firstPageNumber="2" fitToHeight="0" orientation="landscape" useFirstPageNumber="1" r:id="rId1"/>
  <headerFooter alignWithMargins="0">
    <oddFooter>&amp;C&amp;P</oddFooter>
  </headerFooter>
  <ignoredErrors>
    <ignoredError sqref="K133 K135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P87"/>
  <sheetViews>
    <sheetView zoomScaleNormal="100" workbookViewId="0"/>
  </sheetViews>
  <sheetFormatPr defaultColWidth="9.140625" defaultRowHeight="12.75" outlineLevelRow="1" x14ac:dyDescent="0.2"/>
  <cols>
    <col min="1" max="1" width="21.28515625" customWidth="1"/>
    <col min="2" max="2" width="20.42578125" bestFit="1" customWidth="1"/>
    <col min="3" max="3" width="11.5703125" style="216" customWidth="1"/>
    <col min="4" max="4" width="11.5703125" style="21" customWidth="1"/>
    <col min="5" max="5" width="1.42578125" customWidth="1"/>
    <col min="6" max="6" width="16.85546875" style="3" bestFit="1" customWidth="1"/>
    <col min="7" max="7" width="9.5703125" style="3" bestFit="1" customWidth="1"/>
    <col min="8" max="8" width="17.5703125" style="3" customWidth="1"/>
    <col min="9" max="9" width="1.5703125" style="11" customWidth="1"/>
    <col min="10" max="10" width="16.85546875" style="3" bestFit="1" customWidth="1"/>
    <col min="11" max="11" width="9.5703125" style="3" bestFit="1" customWidth="1"/>
    <col min="12" max="12" width="17.5703125" style="3" customWidth="1"/>
    <col min="13" max="13" width="1.42578125" style="3" customWidth="1"/>
    <col min="14" max="14" width="16.28515625" style="206" customWidth="1"/>
    <col min="15" max="15" width="1.7109375" customWidth="1"/>
    <col min="16" max="16" width="20" style="239" customWidth="1"/>
  </cols>
  <sheetData>
    <row r="1" spans="1:16" x14ac:dyDescent="0.2">
      <c r="A1" s="58"/>
      <c r="B1" s="202"/>
      <c r="C1" s="202"/>
      <c r="D1" s="203"/>
      <c r="E1" s="267"/>
      <c r="F1" s="157"/>
      <c r="G1" s="157"/>
      <c r="H1" s="157"/>
      <c r="I1" s="204"/>
      <c r="J1" s="157"/>
      <c r="K1" s="157"/>
      <c r="L1" s="157"/>
      <c r="M1" s="205"/>
      <c r="O1" s="164"/>
      <c r="P1" s="304" t="s">
        <v>206</v>
      </c>
    </row>
    <row r="2" spans="1:16" s="39" customFormat="1" x14ac:dyDescent="0.2">
      <c r="A2" s="170"/>
      <c r="B2" s="207"/>
      <c r="C2" s="170"/>
      <c r="D2" s="208"/>
      <c r="E2" s="268"/>
      <c r="F2" s="99"/>
      <c r="G2" s="169">
        <v>45536</v>
      </c>
      <c r="H2" s="99"/>
      <c r="I2" s="209"/>
      <c r="J2" s="99"/>
      <c r="K2" s="169">
        <v>45657</v>
      </c>
      <c r="L2" s="99"/>
      <c r="M2" s="209"/>
      <c r="N2" s="109"/>
      <c r="O2" s="164"/>
      <c r="P2" s="304"/>
    </row>
    <row r="3" spans="1:16" s="39" customFormat="1" x14ac:dyDescent="0.2">
      <c r="A3" s="170" t="s">
        <v>43</v>
      </c>
      <c r="B3" s="56" t="s">
        <v>17</v>
      </c>
      <c r="C3" s="170" t="s">
        <v>18</v>
      </c>
      <c r="D3" s="208" t="s">
        <v>44</v>
      </c>
      <c r="E3" s="268"/>
      <c r="F3" s="99" t="s">
        <v>45</v>
      </c>
      <c r="G3" s="102" t="s">
        <v>46</v>
      </c>
      <c r="H3" s="99"/>
      <c r="I3" s="209"/>
      <c r="J3" s="99" t="s">
        <v>45</v>
      </c>
      <c r="K3" s="102" t="s">
        <v>46</v>
      </c>
      <c r="L3" s="99"/>
      <c r="M3" s="209"/>
      <c r="N3" s="109" t="s">
        <v>47</v>
      </c>
      <c r="O3" s="164"/>
      <c r="P3" s="304"/>
    </row>
    <row r="4" spans="1:16" s="39" customFormat="1" x14ac:dyDescent="0.2">
      <c r="A4" s="170"/>
      <c r="B4" s="56" t="s">
        <v>23</v>
      </c>
      <c r="C4" s="170" t="s">
        <v>24</v>
      </c>
      <c r="D4" s="208" t="s">
        <v>48</v>
      </c>
      <c r="E4" s="268"/>
      <c r="F4" s="99" t="s">
        <v>49</v>
      </c>
      <c r="G4" s="102" t="s">
        <v>50</v>
      </c>
      <c r="H4" s="99" t="s">
        <v>51</v>
      </c>
      <c r="I4" s="209"/>
      <c r="J4" s="99" t="s">
        <v>49</v>
      </c>
      <c r="K4" s="102" t="s">
        <v>50</v>
      </c>
      <c r="L4" s="99" t="s">
        <v>51</v>
      </c>
      <c r="M4" s="209"/>
      <c r="N4" s="109" t="s">
        <v>15</v>
      </c>
      <c r="O4" s="164"/>
      <c r="P4" s="304"/>
    </row>
    <row r="5" spans="1:16" s="39" customFormat="1" ht="13.5" thickBot="1" x14ac:dyDescent="0.25">
      <c r="A5" s="210"/>
      <c r="B5" s="211"/>
      <c r="C5" s="210"/>
      <c r="D5" s="212"/>
      <c r="E5" s="269"/>
      <c r="F5" s="213"/>
      <c r="G5" s="214"/>
      <c r="H5" s="213"/>
      <c r="I5" s="213"/>
      <c r="J5" s="213"/>
      <c r="K5" s="214"/>
      <c r="L5" s="213"/>
      <c r="M5" s="213"/>
      <c r="N5" s="215"/>
      <c r="O5" s="168"/>
      <c r="P5" s="171"/>
    </row>
    <row r="6" spans="1:16" outlineLevel="1" x14ac:dyDescent="0.2">
      <c r="A6" t="s">
        <v>27</v>
      </c>
      <c r="B6" s="58" t="s">
        <v>99</v>
      </c>
      <c r="C6" s="202"/>
      <c r="D6" s="158">
        <v>45657</v>
      </c>
      <c r="E6" s="270"/>
      <c r="F6" s="157">
        <v>3786894.27</v>
      </c>
      <c r="G6" s="227">
        <f>+H6/F6</f>
        <v>1</v>
      </c>
      <c r="H6" s="157">
        <f t="shared" ref="H6:H11" si="0">SUM(F6)</f>
        <v>3786894.27</v>
      </c>
      <c r="I6" s="204" t="s">
        <v>53</v>
      </c>
      <c r="J6" s="157">
        <v>6455325.0999999996</v>
      </c>
      <c r="K6" s="227">
        <f>+L6/J6</f>
        <v>1</v>
      </c>
      <c r="L6" s="157">
        <f t="shared" ref="L6:L12" si="1">SUM(J6)</f>
        <v>6455325.0999999996</v>
      </c>
      <c r="M6" s="205"/>
      <c r="N6" s="218"/>
      <c r="O6" s="219"/>
      <c r="P6" s="220"/>
    </row>
    <row r="7" spans="1:16" outlineLevel="1" x14ac:dyDescent="0.2">
      <c r="B7" s="273" t="s">
        <v>52</v>
      </c>
      <c r="C7" s="274"/>
      <c r="D7" s="275">
        <v>45657</v>
      </c>
      <c r="E7" s="270"/>
      <c r="F7" s="278">
        <v>800</v>
      </c>
      <c r="G7" s="277">
        <f t="shared" ref="G7:G11" si="2">+H7/F7</f>
        <v>1</v>
      </c>
      <c r="H7" s="278">
        <f t="shared" si="0"/>
        <v>800</v>
      </c>
      <c r="I7" s="204"/>
      <c r="J7" s="278">
        <v>800</v>
      </c>
      <c r="K7" s="277">
        <f t="shared" ref="K7:K34" si="3">+L7/J7</f>
        <v>1</v>
      </c>
      <c r="L7" s="278">
        <f t="shared" si="1"/>
        <v>800</v>
      </c>
      <c r="M7" s="205"/>
      <c r="N7" s="218"/>
      <c r="O7" s="219"/>
      <c r="P7" s="220"/>
    </row>
    <row r="8" spans="1:16" outlineLevel="1" x14ac:dyDescent="0.2">
      <c r="B8" s="58" t="s">
        <v>94</v>
      </c>
      <c r="C8" s="202"/>
      <c r="D8" s="158">
        <v>45657</v>
      </c>
      <c r="E8" s="270"/>
      <c r="F8" s="157">
        <v>5000000</v>
      </c>
      <c r="G8" s="227">
        <f t="shared" si="2"/>
        <v>1</v>
      </c>
      <c r="H8" s="157">
        <f t="shared" si="0"/>
        <v>5000000</v>
      </c>
      <c r="I8" s="204" t="s">
        <v>53</v>
      </c>
      <c r="J8" s="157">
        <v>25500000</v>
      </c>
      <c r="K8" s="227">
        <f t="shared" si="3"/>
        <v>1</v>
      </c>
      <c r="L8" s="157">
        <f t="shared" si="1"/>
        <v>25500000</v>
      </c>
      <c r="M8" s="205"/>
      <c r="N8" s="218"/>
      <c r="O8" s="219"/>
      <c r="P8" s="220"/>
    </row>
    <row r="9" spans="1:16" outlineLevel="1" x14ac:dyDescent="0.2">
      <c r="B9" s="273" t="s">
        <v>140</v>
      </c>
      <c r="C9" s="274"/>
      <c r="D9" s="275">
        <v>45657</v>
      </c>
      <c r="E9" s="270"/>
      <c r="F9" s="278">
        <v>11902.77</v>
      </c>
      <c r="G9" s="277">
        <f t="shared" si="2"/>
        <v>1</v>
      </c>
      <c r="H9" s="278">
        <f t="shared" si="0"/>
        <v>11902.77</v>
      </c>
      <c r="I9" s="204" t="s">
        <v>53</v>
      </c>
      <c r="J9" s="278">
        <v>15838.11</v>
      </c>
      <c r="K9" s="277">
        <f t="shared" si="3"/>
        <v>1</v>
      </c>
      <c r="L9" s="278">
        <f t="shared" si="1"/>
        <v>15838.11</v>
      </c>
      <c r="M9" s="205"/>
      <c r="N9" s="218"/>
      <c r="O9" s="219"/>
      <c r="P9" s="220"/>
    </row>
    <row r="10" spans="1:16" outlineLevel="1" x14ac:dyDescent="0.2">
      <c r="B10" s="58" t="s">
        <v>185</v>
      </c>
      <c r="C10" s="202"/>
      <c r="D10" s="158">
        <v>45657</v>
      </c>
      <c r="E10" s="270"/>
      <c r="F10" s="157">
        <v>23720.75</v>
      </c>
      <c r="G10" s="227">
        <f t="shared" si="2"/>
        <v>1</v>
      </c>
      <c r="H10" s="157">
        <f t="shared" si="0"/>
        <v>23720.75</v>
      </c>
      <c r="I10" s="204" t="s">
        <v>53</v>
      </c>
      <c r="J10" s="157">
        <v>24012.720000000001</v>
      </c>
      <c r="K10" s="227">
        <f t="shared" si="3"/>
        <v>1</v>
      </c>
      <c r="L10" s="157">
        <f t="shared" si="1"/>
        <v>24012.720000000001</v>
      </c>
      <c r="M10" s="205"/>
      <c r="N10" s="218"/>
      <c r="O10" s="219"/>
      <c r="P10" s="220"/>
    </row>
    <row r="11" spans="1:16" outlineLevel="1" x14ac:dyDescent="0.2">
      <c r="B11" s="273" t="s">
        <v>174</v>
      </c>
      <c r="C11" s="274"/>
      <c r="D11" s="275">
        <v>45657</v>
      </c>
      <c r="E11" s="270"/>
      <c r="F11" s="276">
        <v>10178590.199999999</v>
      </c>
      <c r="G11" s="277">
        <f t="shared" si="2"/>
        <v>1</v>
      </c>
      <c r="H11" s="278">
        <f t="shared" si="0"/>
        <v>10178590.199999999</v>
      </c>
      <c r="I11" s="204" t="s">
        <v>53</v>
      </c>
      <c r="J11" s="276">
        <v>5257294.4400000004</v>
      </c>
      <c r="K11" s="277">
        <f t="shared" si="3"/>
        <v>1</v>
      </c>
      <c r="L11" s="278">
        <f t="shared" si="1"/>
        <v>5257294.4400000004</v>
      </c>
      <c r="M11" s="205"/>
      <c r="N11" s="218"/>
      <c r="O11" s="219"/>
      <c r="P11" s="220"/>
    </row>
    <row r="12" spans="1:16" outlineLevel="1" x14ac:dyDescent="0.2">
      <c r="B12" s="58" t="s">
        <v>145</v>
      </c>
      <c r="C12" s="202"/>
      <c r="D12" s="158">
        <v>45916</v>
      </c>
      <c r="E12" s="270"/>
      <c r="F12" s="157">
        <v>0</v>
      </c>
      <c r="G12" s="227">
        <v>1</v>
      </c>
      <c r="H12" s="157">
        <v>0</v>
      </c>
      <c r="I12" s="204" t="s">
        <v>53</v>
      </c>
      <c r="J12" s="157">
        <v>10356673.970000001</v>
      </c>
      <c r="K12" s="227">
        <f t="shared" si="3"/>
        <v>1</v>
      </c>
      <c r="L12" s="157">
        <f t="shared" si="1"/>
        <v>10356673.970000001</v>
      </c>
      <c r="M12" s="205"/>
      <c r="N12" s="218"/>
      <c r="O12" s="219"/>
      <c r="P12" s="220"/>
    </row>
    <row r="13" spans="1:16" outlineLevel="1" x14ac:dyDescent="0.2">
      <c r="B13" s="273" t="s">
        <v>119</v>
      </c>
      <c r="C13" s="274"/>
      <c r="D13" s="275">
        <v>45657</v>
      </c>
      <c r="E13" s="270"/>
      <c r="F13" s="276">
        <v>405.31</v>
      </c>
      <c r="G13" s="277">
        <v>0</v>
      </c>
      <c r="H13" s="278">
        <f>SUM(F13)</f>
        <v>405.31</v>
      </c>
      <c r="I13" s="204" t="s">
        <v>53</v>
      </c>
      <c r="J13" s="276">
        <v>368.12</v>
      </c>
      <c r="K13" s="277">
        <v>0</v>
      </c>
      <c r="L13" s="278">
        <f>SUM(J13)</f>
        <v>368.12</v>
      </c>
      <c r="M13" s="205"/>
      <c r="N13" s="218"/>
      <c r="O13" s="219"/>
      <c r="P13" s="220"/>
    </row>
    <row r="14" spans="1:16" outlineLevel="1" x14ac:dyDescent="0.2">
      <c r="B14" s="221" t="s">
        <v>171</v>
      </c>
      <c r="C14" s="222" t="s">
        <v>164</v>
      </c>
      <c r="D14" s="223">
        <v>45708</v>
      </c>
      <c r="E14" s="270"/>
      <c r="F14" s="228">
        <v>249000</v>
      </c>
      <c r="G14" s="225">
        <f t="shared" ref="G14:G29" si="4">+H14/F14</f>
        <v>1</v>
      </c>
      <c r="H14" s="228">
        <v>249000</v>
      </c>
      <c r="I14" s="204"/>
      <c r="J14" s="228">
        <v>249000</v>
      </c>
      <c r="K14" s="225">
        <f t="shared" ref="K14:K26" si="5">+L14/J14</f>
        <v>1</v>
      </c>
      <c r="L14" s="228">
        <v>249000</v>
      </c>
      <c r="M14" s="205"/>
      <c r="N14" s="218"/>
      <c r="O14" s="219"/>
      <c r="P14" s="220"/>
    </row>
    <row r="15" spans="1:16" outlineLevel="1" x14ac:dyDescent="0.2">
      <c r="B15" s="58" t="s">
        <v>165</v>
      </c>
      <c r="C15" s="202" t="s">
        <v>166</v>
      </c>
      <c r="D15" s="158">
        <v>45709</v>
      </c>
      <c r="E15" s="270"/>
      <c r="F15" s="160">
        <v>238000</v>
      </c>
      <c r="G15" s="227">
        <f t="shared" si="4"/>
        <v>1</v>
      </c>
      <c r="H15" s="160">
        <v>238000</v>
      </c>
      <c r="I15" s="204"/>
      <c r="J15" s="160">
        <v>238000</v>
      </c>
      <c r="K15" s="227">
        <f t="shared" si="5"/>
        <v>1</v>
      </c>
      <c r="L15" s="71">
        <v>238000</v>
      </c>
      <c r="M15" s="205"/>
      <c r="N15" s="218"/>
      <c r="O15" s="219"/>
      <c r="P15" s="220"/>
    </row>
    <row r="16" spans="1:16" outlineLevel="1" x14ac:dyDescent="0.2">
      <c r="B16" s="221" t="s">
        <v>133</v>
      </c>
      <c r="C16" s="222" t="s">
        <v>134</v>
      </c>
      <c r="D16" s="223">
        <v>45733</v>
      </c>
      <c r="E16" s="270"/>
      <c r="F16" s="228">
        <v>249000</v>
      </c>
      <c r="G16" s="225">
        <f t="shared" si="4"/>
        <v>1.0033700000000001</v>
      </c>
      <c r="H16" s="228">
        <v>249839.13</v>
      </c>
      <c r="I16" s="204"/>
      <c r="J16" s="228">
        <v>249000</v>
      </c>
      <c r="K16" s="225">
        <f t="shared" si="5"/>
        <v>1.00187</v>
      </c>
      <c r="L16" s="228">
        <v>249465.63</v>
      </c>
      <c r="M16" s="205"/>
      <c r="N16" s="218"/>
      <c r="O16" s="219"/>
      <c r="P16" s="220"/>
    </row>
    <row r="17" spans="1:16" outlineLevel="1" x14ac:dyDescent="0.2">
      <c r="B17" s="58" t="s">
        <v>135</v>
      </c>
      <c r="C17" s="202">
        <v>254673278</v>
      </c>
      <c r="D17" s="158">
        <v>45737</v>
      </c>
      <c r="E17" s="270"/>
      <c r="F17" s="160">
        <v>243000</v>
      </c>
      <c r="G17" s="227">
        <f t="shared" si="4"/>
        <v>1.0034800000000001</v>
      </c>
      <c r="H17" s="160">
        <v>243845.64</v>
      </c>
      <c r="I17" s="204"/>
      <c r="J17" s="160">
        <v>243000</v>
      </c>
      <c r="K17" s="227">
        <f t="shared" si="5"/>
        <v>1.0020100000000001</v>
      </c>
      <c r="L17" s="160">
        <v>243488.43</v>
      </c>
      <c r="M17" s="205"/>
      <c r="N17" s="218"/>
      <c r="O17" s="219"/>
      <c r="P17" s="220"/>
    </row>
    <row r="18" spans="1:16" outlineLevel="1" x14ac:dyDescent="0.2">
      <c r="B18" s="221" t="s">
        <v>136</v>
      </c>
      <c r="C18" s="222" t="s">
        <v>137</v>
      </c>
      <c r="D18" s="223">
        <v>45743</v>
      </c>
      <c r="E18" s="270"/>
      <c r="F18" s="228">
        <v>249000</v>
      </c>
      <c r="G18" s="225">
        <f t="shared" si="4"/>
        <v>1.00356</v>
      </c>
      <c r="H18" s="228">
        <v>249886.44</v>
      </c>
      <c r="I18" s="204"/>
      <c r="J18" s="228">
        <v>249000</v>
      </c>
      <c r="K18" s="225">
        <f t="shared" si="5"/>
        <v>1.0018799999999999</v>
      </c>
      <c r="L18" s="228">
        <v>249468.12</v>
      </c>
      <c r="M18" s="205"/>
      <c r="N18" s="218"/>
      <c r="O18" s="219"/>
      <c r="P18" s="220"/>
    </row>
    <row r="19" spans="1:16" outlineLevel="1" x14ac:dyDescent="0.2">
      <c r="B19" s="58" t="s">
        <v>141</v>
      </c>
      <c r="C19" s="202" t="s">
        <v>139</v>
      </c>
      <c r="D19" s="158">
        <v>45743</v>
      </c>
      <c r="E19" s="270"/>
      <c r="F19" s="160">
        <v>243000</v>
      </c>
      <c r="G19" s="227">
        <f t="shared" si="4"/>
        <v>1.0030700000000001</v>
      </c>
      <c r="H19" s="160">
        <v>243746.01</v>
      </c>
      <c r="I19" s="204"/>
      <c r="J19" s="160">
        <v>243000</v>
      </c>
      <c r="K19" s="227">
        <f t="shared" si="5"/>
        <v>1.00179</v>
      </c>
      <c r="L19" s="160">
        <v>243434.97</v>
      </c>
      <c r="M19" s="205"/>
      <c r="N19" s="218"/>
      <c r="O19" s="219"/>
      <c r="P19" s="220"/>
    </row>
    <row r="20" spans="1:16" outlineLevel="1" x14ac:dyDescent="0.2">
      <c r="A20" s="201" t="s">
        <v>0</v>
      </c>
      <c r="B20" s="221" t="s">
        <v>153</v>
      </c>
      <c r="C20" s="222" t="s">
        <v>154</v>
      </c>
      <c r="D20" s="223">
        <v>45852</v>
      </c>
      <c r="E20" s="270"/>
      <c r="F20" s="224">
        <v>243000</v>
      </c>
      <c r="G20" s="225">
        <v>0</v>
      </c>
      <c r="H20" s="224">
        <v>244453.14</v>
      </c>
      <c r="I20" s="209" t="s">
        <v>53</v>
      </c>
      <c r="J20" s="224">
        <v>243000</v>
      </c>
      <c r="K20" s="225">
        <f>+L20/J20</f>
        <v>1.0041</v>
      </c>
      <c r="L20" s="224">
        <v>243996.3</v>
      </c>
      <c r="M20" s="205"/>
      <c r="N20" s="218"/>
      <c r="O20" s="219"/>
      <c r="P20" s="220"/>
    </row>
    <row r="21" spans="1:16" outlineLevel="1" x14ac:dyDescent="0.2">
      <c r="B21" s="58" t="s">
        <v>117</v>
      </c>
      <c r="C21" s="202" t="s">
        <v>149</v>
      </c>
      <c r="D21" s="158">
        <v>45884</v>
      </c>
      <c r="E21" s="270"/>
      <c r="F21" s="160">
        <v>998000</v>
      </c>
      <c r="G21" s="227">
        <f t="shared" si="4"/>
        <v>0.99199000000000004</v>
      </c>
      <c r="H21" s="160">
        <v>990006.02</v>
      </c>
      <c r="I21" s="204"/>
      <c r="J21" s="160">
        <v>998000</v>
      </c>
      <c r="K21" s="227">
        <f t="shared" si="5"/>
        <v>0.99306000000000005</v>
      </c>
      <c r="L21" s="160">
        <v>991073.88</v>
      </c>
      <c r="M21" s="205"/>
      <c r="N21" s="218"/>
      <c r="O21" s="219"/>
      <c r="P21" s="220"/>
    </row>
    <row r="22" spans="1:16" outlineLevel="1" x14ac:dyDescent="0.2">
      <c r="B22" s="221" t="s">
        <v>172</v>
      </c>
      <c r="C22" s="222" t="s">
        <v>167</v>
      </c>
      <c r="D22" s="223">
        <v>45890</v>
      </c>
      <c r="E22" s="270"/>
      <c r="F22" s="228">
        <v>244000</v>
      </c>
      <c r="G22" s="225">
        <f t="shared" si="4"/>
        <v>1.0061899999999999</v>
      </c>
      <c r="H22" s="228">
        <v>245510.36</v>
      </c>
      <c r="I22" s="204"/>
      <c r="J22" s="228">
        <v>244000</v>
      </c>
      <c r="K22" s="225">
        <f t="shared" si="5"/>
        <v>1.0038400000000001</v>
      </c>
      <c r="L22" s="228">
        <v>244936.95999999999</v>
      </c>
      <c r="M22" s="205"/>
      <c r="N22" s="218"/>
      <c r="O22" s="219"/>
      <c r="P22" s="220"/>
    </row>
    <row r="23" spans="1:16" outlineLevel="1" x14ac:dyDescent="0.2">
      <c r="B23" s="58" t="s">
        <v>156</v>
      </c>
      <c r="C23" s="202" t="s">
        <v>150</v>
      </c>
      <c r="D23" s="158">
        <v>45894</v>
      </c>
      <c r="E23" s="270"/>
      <c r="F23" s="160">
        <v>243000</v>
      </c>
      <c r="G23" s="227">
        <f t="shared" si="4"/>
        <v>1.00827</v>
      </c>
      <c r="H23" s="160">
        <v>245009.61</v>
      </c>
      <c r="I23" s="204"/>
      <c r="J23" s="160">
        <v>243000</v>
      </c>
      <c r="K23" s="227">
        <f t="shared" si="5"/>
        <v>1.00532</v>
      </c>
      <c r="L23" s="160">
        <v>244292.76</v>
      </c>
      <c r="M23" s="205"/>
      <c r="N23" s="218"/>
      <c r="O23" s="219"/>
      <c r="P23" s="220"/>
    </row>
    <row r="24" spans="1:16" outlineLevel="1" x14ac:dyDescent="0.2">
      <c r="B24" s="221" t="s">
        <v>151</v>
      </c>
      <c r="C24" s="222" t="s">
        <v>152</v>
      </c>
      <c r="D24" s="223">
        <v>45894</v>
      </c>
      <c r="E24" s="270"/>
      <c r="F24" s="228">
        <v>243000</v>
      </c>
      <c r="G24" s="225">
        <f t="shared" si="4"/>
        <v>1.0077</v>
      </c>
      <c r="H24" s="228">
        <v>244871.1</v>
      </c>
      <c r="I24" s="204"/>
      <c r="J24" s="228">
        <v>243000</v>
      </c>
      <c r="K24" s="225">
        <f t="shared" si="5"/>
        <v>1.0048699999999999</v>
      </c>
      <c r="L24" s="228">
        <v>244183.41</v>
      </c>
      <c r="M24" s="205"/>
      <c r="N24" s="218"/>
      <c r="O24" s="219"/>
      <c r="P24" s="220"/>
    </row>
    <row r="25" spans="1:16" outlineLevel="1" x14ac:dyDescent="0.2">
      <c r="B25" s="58" t="s">
        <v>173</v>
      </c>
      <c r="C25" s="202" t="s">
        <v>170</v>
      </c>
      <c r="D25" s="158">
        <v>46073</v>
      </c>
      <c r="E25" s="270"/>
      <c r="F25" s="160">
        <v>244000</v>
      </c>
      <c r="G25" s="227">
        <f t="shared" si="4"/>
        <v>1.0096700000000001</v>
      </c>
      <c r="H25" s="160">
        <v>246359.48</v>
      </c>
      <c r="I25" s="204"/>
      <c r="J25" s="160">
        <v>244000</v>
      </c>
      <c r="K25" s="227">
        <f t="shared" si="5"/>
        <v>1.0054699999999999</v>
      </c>
      <c r="L25" s="160">
        <v>245334.68</v>
      </c>
      <c r="M25" s="205"/>
      <c r="N25" s="218"/>
      <c r="O25" s="219"/>
      <c r="P25" s="220"/>
    </row>
    <row r="26" spans="1:16" outlineLevel="1" x14ac:dyDescent="0.2">
      <c r="B26" s="221" t="s">
        <v>190</v>
      </c>
      <c r="C26" s="222" t="s">
        <v>191</v>
      </c>
      <c r="D26" s="223">
        <v>46261</v>
      </c>
      <c r="E26" s="267"/>
      <c r="F26" s="224">
        <v>2000000</v>
      </c>
      <c r="G26" s="225">
        <f t="shared" ref="G26:G28" si="6">+H26/F26</f>
        <v>1</v>
      </c>
      <c r="H26" s="224">
        <v>2000000</v>
      </c>
      <c r="I26" s="209" t="s">
        <v>53</v>
      </c>
      <c r="J26" s="224">
        <v>2000000</v>
      </c>
      <c r="K26" s="224">
        <f t="shared" si="5"/>
        <v>1</v>
      </c>
      <c r="L26" s="224">
        <v>2000000</v>
      </c>
      <c r="M26" s="205"/>
      <c r="N26" s="218"/>
      <c r="O26" s="219"/>
      <c r="P26" s="220"/>
    </row>
    <row r="27" spans="1:16" outlineLevel="1" x14ac:dyDescent="0.2">
      <c r="B27" s="123" t="s">
        <v>145</v>
      </c>
      <c r="C27" s="280"/>
      <c r="D27" s="125">
        <v>45646</v>
      </c>
      <c r="E27" s="267"/>
      <c r="F27" s="281">
        <v>10000000</v>
      </c>
      <c r="G27" s="282">
        <f t="shared" si="6"/>
        <v>1</v>
      </c>
      <c r="H27" s="281">
        <f t="shared" ref="H27" si="7">SUM(F27)</f>
        <v>10000000</v>
      </c>
      <c r="I27" s="209"/>
      <c r="J27" s="281">
        <v>0</v>
      </c>
      <c r="K27" s="282" t="s">
        <v>0</v>
      </c>
      <c r="L27" s="281">
        <f t="shared" ref="L27" si="8">SUM(J27)</f>
        <v>0</v>
      </c>
      <c r="M27" s="205"/>
      <c r="N27" s="218"/>
      <c r="O27" s="219"/>
      <c r="P27" s="220"/>
    </row>
    <row r="28" spans="1:16" outlineLevel="1" x14ac:dyDescent="0.2">
      <c r="B28" s="123" t="s">
        <v>117</v>
      </c>
      <c r="C28" s="280" t="s">
        <v>158</v>
      </c>
      <c r="D28" s="125">
        <v>45626</v>
      </c>
      <c r="E28" s="267"/>
      <c r="F28" s="183">
        <v>951000</v>
      </c>
      <c r="G28" s="282">
        <f t="shared" si="6"/>
        <v>0.99457999999999991</v>
      </c>
      <c r="H28" s="183">
        <v>945845.58</v>
      </c>
      <c r="I28" s="209" t="s">
        <v>53</v>
      </c>
      <c r="J28" s="183">
        <v>0</v>
      </c>
      <c r="K28" s="282" t="s">
        <v>0</v>
      </c>
      <c r="L28" s="183">
        <v>0</v>
      </c>
      <c r="M28" s="205"/>
      <c r="N28" s="218"/>
      <c r="O28" s="219"/>
      <c r="P28" s="220"/>
    </row>
    <row r="29" spans="1:16" x14ac:dyDescent="0.2">
      <c r="A29" s="22" t="s">
        <v>69</v>
      </c>
      <c r="D29" s="27"/>
      <c r="E29" s="270"/>
      <c r="F29" s="229">
        <f>SUM(F6:F28)</f>
        <v>35639313.299999997</v>
      </c>
      <c r="G29" s="230">
        <f t="shared" si="4"/>
        <v>0.99998239331957062</v>
      </c>
      <c r="H29" s="229">
        <f>SUM(H6:H28)</f>
        <v>35638685.810000002</v>
      </c>
      <c r="I29" s="204" t="s">
        <v>53</v>
      </c>
      <c r="J29" s="229">
        <f>SUM(J6:J28)</f>
        <v>53296312.459999993</v>
      </c>
      <c r="K29" s="230">
        <f t="shared" ref="K29" si="9">+L29/J29</f>
        <v>1.0000126676681524</v>
      </c>
      <c r="L29" s="229">
        <f>SUM(L6:L28)</f>
        <v>53296987.599999987</v>
      </c>
      <c r="M29" s="231"/>
      <c r="N29" s="218">
        <f>SUM(L29-H29)</f>
        <v>17658301.789999984</v>
      </c>
      <c r="O29" s="219"/>
      <c r="P29" s="220">
        <v>13618510.07</v>
      </c>
    </row>
    <row r="30" spans="1:16" x14ac:dyDescent="0.2">
      <c r="A30" s="22"/>
      <c r="D30" s="27"/>
      <c r="E30" s="270"/>
      <c r="F30" s="54"/>
      <c r="G30" s="217"/>
      <c r="H30" s="54"/>
      <c r="I30" s="209"/>
      <c r="J30" s="54"/>
      <c r="K30" s="217"/>
      <c r="L30" s="54"/>
      <c r="M30" s="231"/>
      <c r="N30" s="218"/>
      <c r="O30" s="219"/>
      <c r="P30" s="220"/>
    </row>
    <row r="31" spans="1:16" x14ac:dyDescent="0.2">
      <c r="A31" s="22"/>
      <c r="D31" s="27"/>
      <c r="E31" s="270"/>
      <c r="F31" s="54"/>
      <c r="G31" s="217"/>
      <c r="H31" s="54"/>
      <c r="I31" s="209"/>
      <c r="J31" s="54"/>
      <c r="K31" s="217"/>
      <c r="L31" s="54"/>
      <c r="M31" s="231"/>
      <c r="N31" s="218"/>
      <c r="O31" s="219"/>
      <c r="P31" s="220"/>
    </row>
    <row r="32" spans="1:16" x14ac:dyDescent="0.2">
      <c r="A32" s="22" t="s">
        <v>114</v>
      </c>
      <c r="B32" t="s">
        <v>99</v>
      </c>
      <c r="D32" s="27">
        <v>45657</v>
      </c>
      <c r="E32" s="270"/>
      <c r="F32" s="3">
        <v>4864235.54</v>
      </c>
      <c r="G32" s="226">
        <f t="shared" ref="G32:G34" si="10">+H32/F32</f>
        <v>1</v>
      </c>
      <c r="H32" s="3">
        <f>SUM(F32)</f>
        <v>4864235.54</v>
      </c>
      <c r="I32" s="209" t="s">
        <v>53</v>
      </c>
      <c r="J32" s="3">
        <v>2642557.2000000002</v>
      </c>
      <c r="K32" s="226">
        <f t="shared" si="3"/>
        <v>1</v>
      </c>
      <c r="L32" s="3">
        <f>SUM(J32)</f>
        <v>2642557.2000000002</v>
      </c>
      <c r="M32" s="231"/>
      <c r="N32" s="218"/>
      <c r="O32" s="219"/>
      <c r="P32" s="220"/>
    </row>
    <row r="33" spans="1:16" x14ac:dyDescent="0.2">
      <c r="A33" s="22"/>
      <c r="B33" s="221" t="s">
        <v>196</v>
      </c>
      <c r="C33" s="222"/>
      <c r="D33" s="223">
        <v>45657</v>
      </c>
      <c r="E33" s="270"/>
      <c r="F33" s="224">
        <v>8049388.9400000004</v>
      </c>
      <c r="G33" s="224">
        <f t="shared" si="10"/>
        <v>1</v>
      </c>
      <c r="H33" s="224">
        <f>SUM(F33)</f>
        <v>8049388.9400000004</v>
      </c>
      <c r="I33" s="209" t="s">
        <v>53</v>
      </c>
      <c r="J33" s="224">
        <v>8144669.4299999997</v>
      </c>
      <c r="K33" s="225">
        <f t="shared" si="3"/>
        <v>1</v>
      </c>
      <c r="L33" s="224">
        <f>SUM(J33)</f>
        <v>8144669.4299999997</v>
      </c>
      <c r="M33" s="231"/>
      <c r="N33" s="218"/>
      <c r="O33" s="219"/>
      <c r="P33" s="220"/>
    </row>
    <row r="34" spans="1:16" x14ac:dyDescent="0.2">
      <c r="A34" s="22"/>
      <c r="D34" s="27"/>
      <c r="E34" s="270"/>
      <c r="F34" s="229">
        <f>SUM(F32:F33)</f>
        <v>12913624.48</v>
      </c>
      <c r="G34" s="230">
        <f t="shared" si="10"/>
        <v>1</v>
      </c>
      <c r="H34" s="229">
        <f>SUM(H32:H33)</f>
        <v>12913624.48</v>
      </c>
      <c r="I34" s="209"/>
      <c r="J34" s="229">
        <f>SUM(J32:J33)</f>
        <v>10787226.629999999</v>
      </c>
      <c r="K34" s="230">
        <f t="shared" si="3"/>
        <v>1</v>
      </c>
      <c r="L34" s="229">
        <f>SUM(L32:L33)</f>
        <v>10787226.629999999</v>
      </c>
      <c r="M34" s="231"/>
      <c r="N34" s="218">
        <f>+SUM(L34-H34)</f>
        <v>-2126397.8500000015</v>
      </c>
      <c r="O34" s="219"/>
      <c r="P34" s="220">
        <v>-715779.33</v>
      </c>
    </row>
    <row r="35" spans="1:16" x14ac:dyDescent="0.2">
      <c r="A35" s="22"/>
      <c r="D35" s="27"/>
      <c r="E35" s="270"/>
      <c r="F35" s="54"/>
      <c r="G35" s="226"/>
      <c r="H35" s="54"/>
      <c r="I35" s="209"/>
      <c r="J35" s="54"/>
      <c r="K35" s="226"/>
      <c r="L35" s="54"/>
      <c r="M35" s="231"/>
      <c r="N35" s="218"/>
      <c r="O35" s="219"/>
      <c r="P35" s="220"/>
    </row>
    <row r="36" spans="1:16" x14ac:dyDescent="0.2">
      <c r="A36" s="22" t="s">
        <v>71</v>
      </c>
      <c r="B36" t="s">
        <v>99</v>
      </c>
      <c r="D36" s="27">
        <v>45657</v>
      </c>
      <c r="E36" s="270"/>
      <c r="F36" s="3">
        <v>5260</v>
      </c>
      <c r="G36" s="226">
        <f>+H36/F36</f>
        <v>1</v>
      </c>
      <c r="H36" s="3">
        <f>SUM(F36)</f>
        <v>5260</v>
      </c>
      <c r="I36" s="209" t="s">
        <v>53</v>
      </c>
      <c r="J36" s="3">
        <v>5296.91</v>
      </c>
      <c r="K36" s="226">
        <f>+L36/J36</f>
        <v>1</v>
      </c>
      <c r="L36" s="3">
        <f>SUM(J36)</f>
        <v>5296.91</v>
      </c>
      <c r="M36" s="205"/>
      <c r="N36" s="166"/>
      <c r="O36" s="219"/>
      <c r="P36" s="220"/>
    </row>
    <row r="37" spans="1:16" x14ac:dyDescent="0.2">
      <c r="A37" s="22"/>
      <c r="D37" s="27"/>
      <c r="E37" s="270"/>
      <c r="F37" s="229">
        <f>SUM(F36)</f>
        <v>5260</v>
      </c>
      <c r="G37" s="230">
        <f>+H37/F37</f>
        <v>1</v>
      </c>
      <c r="H37" s="229">
        <f>SUM(H36)</f>
        <v>5260</v>
      </c>
      <c r="I37" s="209"/>
      <c r="J37" s="229">
        <f>SUM(J36)</f>
        <v>5296.91</v>
      </c>
      <c r="K37" s="230">
        <f>+L37/J37</f>
        <v>1</v>
      </c>
      <c r="L37" s="229">
        <f>SUM(L36)</f>
        <v>5296.91</v>
      </c>
      <c r="M37" s="231"/>
      <c r="N37" s="166">
        <f>SUM(L37-H37)</f>
        <v>36.909999999999854</v>
      </c>
      <c r="O37" s="219"/>
      <c r="P37" s="220">
        <v>51.95</v>
      </c>
    </row>
    <row r="38" spans="1:16" x14ac:dyDescent="0.2">
      <c r="A38" s="22"/>
      <c r="D38" s="27"/>
      <c r="E38" s="270"/>
      <c r="F38" s="54"/>
      <c r="G38" s="226"/>
      <c r="H38" s="54"/>
      <c r="I38" s="209"/>
      <c r="J38" s="54"/>
      <c r="K38" s="226"/>
      <c r="L38" s="54"/>
      <c r="M38" s="231"/>
      <c r="N38" s="166"/>
      <c r="O38" s="219"/>
      <c r="P38" s="220"/>
    </row>
    <row r="39" spans="1:16" x14ac:dyDescent="0.2">
      <c r="A39" s="22"/>
      <c r="D39" s="27"/>
      <c r="E39" s="270"/>
      <c r="F39" s="54"/>
      <c r="G39" s="226"/>
      <c r="H39" s="54"/>
      <c r="I39" s="209"/>
      <c r="J39" s="54"/>
      <c r="K39" s="226"/>
      <c r="L39" s="54"/>
      <c r="M39" s="231"/>
      <c r="N39" s="166"/>
      <c r="O39" s="219"/>
      <c r="P39" s="220"/>
    </row>
    <row r="40" spans="1:16" x14ac:dyDescent="0.2">
      <c r="A40" s="22" t="s">
        <v>6</v>
      </c>
      <c r="B40" t="s">
        <v>99</v>
      </c>
      <c r="D40" s="27">
        <v>45657</v>
      </c>
      <c r="E40" s="270"/>
      <c r="F40" s="11">
        <v>6212.73</v>
      </c>
      <c r="G40" s="226">
        <f t="shared" ref="G40:G41" si="11">+H40/F40</f>
        <v>1</v>
      </c>
      <c r="H40" s="3">
        <f>SUM(F40)</f>
        <v>6212.73</v>
      </c>
      <c r="I40" s="204" t="s">
        <v>53</v>
      </c>
      <c r="J40" s="11">
        <v>6256.32</v>
      </c>
      <c r="K40" s="226">
        <f t="shared" ref="K40:K41" si="12">+L40/J40</f>
        <v>1</v>
      </c>
      <c r="L40" s="3">
        <f>SUM(J40)</f>
        <v>6256.32</v>
      </c>
      <c r="M40" s="205"/>
      <c r="N40" s="166"/>
      <c r="O40" s="219"/>
      <c r="P40" s="220"/>
    </row>
    <row r="41" spans="1:16" x14ac:dyDescent="0.2">
      <c r="A41" s="22"/>
      <c r="D41" s="27"/>
      <c r="E41" s="270"/>
      <c r="F41" s="229">
        <f>SUM(F40)</f>
        <v>6212.73</v>
      </c>
      <c r="G41" s="230">
        <f t="shared" si="11"/>
        <v>1</v>
      </c>
      <c r="H41" s="229">
        <f>SUM(H40)</f>
        <v>6212.73</v>
      </c>
      <c r="I41" s="209"/>
      <c r="J41" s="229">
        <f>SUM(J40)</f>
        <v>6256.32</v>
      </c>
      <c r="K41" s="230">
        <f t="shared" si="12"/>
        <v>1</v>
      </c>
      <c r="L41" s="229">
        <f>SUM(L40)</f>
        <v>6256.32</v>
      </c>
      <c r="M41" s="231"/>
      <c r="N41" s="166">
        <f>SUM(L41-H41)</f>
        <v>43.590000000000146</v>
      </c>
      <c r="O41" s="219"/>
      <c r="P41" s="220">
        <v>43.97</v>
      </c>
    </row>
    <row r="42" spans="1:16" x14ac:dyDescent="0.2">
      <c r="A42" s="22"/>
      <c r="D42" s="27"/>
      <c r="E42" s="270"/>
      <c r="F42" s="54"/>
      <c r="G42" s="226"/>
      <c r="H42" s="54"/>
      <c r="I42" s="209"/>
      <c r="J42" s="54"/>
      <c r="K42" s="226"/>
      <c r="L42" s="54"/>
      <c r="M42" s="231"/>
      <c r="N42" s="166"/>
      <c r="O42" s="219"/>
      <c r="P42" s="220"/>
    </row>
    <row r="43" spans="1:16" x14ac:dyDescent="0.2">
      <c r="A43" s="22"/>
      <c r="D43" s="27"/>
      <c r="E43" s="270"/>
      <c r="F43" s="54"/>
      <c r="G43" s="226"/>
      <c r="H43" s="54"/>
      <c r="I43" s="209"/>
      <c r="J43" s="54"/>
      <c r="K43" s="226"/>
      <c r="L43" s="54"/>
      <c r="M43" s="231"/>
      <c r="N43" s="166"/>
      <c r="O43" s="219"/>
      <c r="P43" s="220"/>
    </row>
    <row r="44" spans="1:16" x14ac:dyDescent="0.2">
      <c r="A44" s="22" t="s">
        <v>105</v>
      </c>
      <c r="B44" t="s">
        <v>99</v>
      </c>
      <c r="D44" s="27">
        <v>45657</v>
      </c>
      <c r="E44" s="270"/>
      <c r="F44" s="3">
        <v>5061953.03</v>
      </c>
      <c r="G44" s="226">
        <f>+H44/F44</f>
        <v>1</v>
      </c>
      <c r="H44" s="3">
        <f>SUM(F44)</f>
        <v>5061953.03</v>
      </c>
      <c r="I44" s="209" t="s">
        <v>53</v>
      </c>
      <c r="J44" s="3">
        <v>3094917.71</v>
      </c>
      <c r="K44" s="226">
        <f>+L44/J44</f>
        <v>1</v>
      </c>
      <c r="L44" s="3">
        <f>SUM(J44)</f>
        <v>3094917.71</v>
      </c>
      <c r="M44" s="231"/>
      <c r="N44" s="166"/>
      <c r="O44" s="219"/>
      <c r="P44" s="220"/>
    </row>
    <row r="45" spans="1:16" x14ac:dyDescent="0.2">
      <c r="A45" s="22"/>
      <c r="D45" s="27"/>
      <c r="E45" s="270"/>
      <c r="F45" s="229">
        <f>SUM(F44:F44)</f>
        <v>5061953.03</v>
      </c>
      <c r="G45" s="230">
        <f>+H45/F45</f>
        <v>1</v>
      </c>
      <c r="H45" s="229">
        <f>SUM(H44:H44)</f>
        <v>5061953.03</v>
      </c>
      <c r="I45" s="209"/>
      <c r="J45" s="229">
        <f>SUM(J44:J44)</f>
        <v>3094917.71</v>
      </c>
      <c r="K45" s="230">
        <f>+L45/J45</f>
        <v>1</v>
      </c>
      <c r="L45" s="229">
        <f>SUM(L44:L44)</f>
        <v>3094917.71</v>
      </c>
      <c r="M45" s="231"/>
      <c r="N45" s="166">
        <f>SUM(L45-H45)</f>
        <v>-1967035.3200000003</v>
      </c>
      <c r="O45" s="219"/>
      <c r="P45" s="220">
        <v>572689.56999999995</v>
      </c>
    </row>
    <row r="46" spans="1:16" x14ac:dyDescent="0.2">
      <c r="A46" s="22"/>
      <c r="D46" s="27"/>
      <c r="E46" s="270"/>
      <c r="F46" s="54"/>
      <c r="G46" s="226"/>
      <c r="H46" s="54"/>
      <c r="I46" s="209"/>
      <c r="J46" s="54"/>
      <c r="K46" s="226"/>
      <c r="L46" s="54"/>
      <c r="M46" s="231"/>
      <c r="N46" s="166"/>
      <c r="O46" s="219"/>
      <c r="P46" s="220"/>
    </row>
    <row r="47" spans="1:16" x14ac:dyDescent="0.2">
      <c r="A47" s="22" t="s">
        <v>10</v>
      </c>
      <c r="B47" t="s">
        <v>99</v>
      </c>
      <c r="D47" s="27">
        <v>45657</v>
      </c>
      <c r="E47" s="270"/>
      <c r="F47" s="3">
        <v>77099.839999999997</v>
      </c>
      <c r="G47" s="232">
        <f>H47/F47</f>
        <v>1</v>
      </c>
      <c r="H47" s="3">
        <f>SUM(F47)</f>
        <v>77099.839999999997</v>
      </c>
      <c r="I47" s="204" t="s">
        <v>53</v>
      </c>
      <c r="J47" s="3">
        <v>78250.429999999993</v>
      </c>
      <c r="K47" s="232">
        <f>L47/J47</f>
        <v>1</v>
      </c>
      <c r="L47" s="3">
        <f>SUM(J47)</f>
        <v>78250.429999999993</v>
      </c>
      <c r="M47" s="205"/>
      <c r="N47" s="166"/>
      <c r="O47" s="219"/>
      <c r="P47" s="220"/>
    </row>
    <row r="48" spans="1:16" x14ac:dyDescent="0.2">
      <c r="A48" s="22"/>
      <c r="D48" s="27"/>
      <c r="E48" s="267"/>
      <c r="F48" s="229">
        <f>SUM(F47)</f>
        <v>77099.839999999997</v>
      </c>
      <c r="G48" s="233">
        <f>H48/F48</f>
        <v>1</v>
      </c>
      <c r="H48" s="229">
        <f>SUM(H47)</f>
        <v>77099.839999999997</v>
      </c>
      <c r="I48" s="209"/>
      <c r="J48" s="229">
        <f>SUM(J47)</f>
        <v>78250.429999999993</v>
      </c>
      <c r="K48" s="233">
        <f>L48/J48</f>
        <v>1</v>
      </c>
      <c r="L48" s="229">
        <f>SUM(L47)</f>
        <v>78250.429999999993</v>
      </c>
      <c r="M48" s="231"/>
      <c r="N48" s="166">
        <f>SUM(L48-H48)</f>
        <v>1150.5899999999965</v>
      </c>
      <c r="O48" s="219"/>
      <c r="P48" s="220">
        <v>1662.78</v>
      </c>
    </row>
    <row r="49" spans="1:16" x14ac:dyDescent="0.2">
      <c r="A49" s="22"/>
      <c r="E49" s="267"/>
      <c r="G49" s="232"/>
      <c r="I49" s="204"/>
      <c r="K49" s="232"/>
      <c r="M49" s="205"/>
      <c r="N49" s="166"/>
      <c r="O49" s="219"/>
      <c r="P49" s="220"/>
    </row>
    <row r="50" spans="1:16" x14ac:dyDescent="0.2">
      <c r="A50" s="22"/>
      <c r="E50" s="267"/>
      <c r="G50" s="232"/>
      <c r="I50" s="204"/>
      <c r="K50" s="232"/>
      <c r="M50" s="205"/>
      <c r="N50" s="166"/>
      <c r="O50" s="219"/>
      <c r="P50" s="220"/>
    </row>
    <row r="51" spans="1:16" x14ac:dyDescent="0.2">
      <c r="A51" s="22" t="s">
        <v>29</v>
      </c>
      <c r="B51" t="s">
        <v>99</v>
      </c>
      <c r="D51" s="27">
        <v>45657</v>
      </c>
      <c r="E51" s="270"/>
      <c r="F51" s="3">
        <v>623368.31000000006</v>
      </c>
      <c r="G51" s="232">
        <f>H51/F51</f>
        <v>1</v>
      </c>
      <c r="H51" s="3">
        <f>SUM(F51)</f>
        <v>623368.31000000006</v>
      </c>
      <c r="I51" s="204" t="s">
        <v>53</v>
      </c>
      <c r="J51" s="3">
        <v>1473218.38</v>
      </c>
      <c r="K51" s="232">
        <f>L51/J51</f>
        <v>1</v>
      </c>
      <c r="L51" s="3">
        <f>SUM(J51)</f>
        <v>1473218.38</v>
      </c>
      <c r="M51" s="205"/>
      <c r="N51" s="166"/>
      <c r="O51" s="219"/>
      <c r="P51" s="220"/>
    </row>
    <row r="52" spans="1:16" x14ac:dyDescent="0.2">
      <c r="A52" s="22"/>
      <c r="B52" t="s">
        <v>99</v>
      </c>
      <c r="E52" s="267"/>
      <c r="F52" s="229">
        <f>SUM(F51)</f>
        <v>623368.31000000006</v>
      </c>
      <c r="G52" s="233">
        <f>H52/F52</f>
        <v>1</v>
      </c>
      <c r="H52" s="229">
        <f>SUM(H51)</f>
        <v>623368.31000000006</v>
      </c>
      <c r="I52" s="209"/>
      <c r="J52" s="229">
        <f>SUM(J51)</f>
        <v>1473218.38</v>
      </c>
      <c r="K52" s="233">
        <f>L52/J52</f>
        <v>1</v>
      </c>
      <c r="L52" s="229">
        <f>SUM(L51)</f>
        <v>1473218.38</v>
      </c>
      <c r="M52" s="231"/>
      <c r="N52" s="166">
        <f>SUM(L52-H52)</f>
        <v>849850.06999999983</v>
      </c>
      <c r="O52" s="219"/>
      <c r="P52" s="220">
        <v>-168492.34</v>
      </c>
    </row>
    <row r="53" spans="1:16" x14ac:dyDescent="0.2">
      <c r="A53" s="22"/>
      <c r="D53" s="27"/>
      <c r="E53" s="270"/>
      <c r="F53" s="54"/>
      <c r="G53" s="226"/>
      <c r="H53" s="54"/>
      <c r="I53" s="209"/>
      <c r="J53" s="54"/>
      <c r="K53" s="226"/>
      <c r="L53" s="54"/>
      <c r="M53" s="231"/>
      <c r="N53" s="166"/>
      <c r="O53" s="219"/>
      <c r="P53" s="220"/>
    </row>
    <row r="54" spans="1:16" x14ac:dyDescent="0.2">
      <c r="A54" s="22"/>
      <c r="D54" s="27"/>
      <c r="E54" s="270"/>
      <c r="F54" s="54"/>
      <c r="G54" s="226"/>
      <c r="H54" s="54"/>
      <c r="I54" s="209"/>
      <c r="J54" s="54"/>
      <c r="K54" s="226"/>
      <c r="L54" s="54"/>
      <c r="M54" s="231"/>
      <c r="N54" s="166"/>
      <c r="O54" s="219"/>
      <c r="P54" s="220"/>
    </row>
    <row r="55" spans="1:16" x14ac:dyDescent="0.2">
      <c r="A55" s="22" t="s">
        <v>84</v>
      </c>
      <c r="B55" t="s">
        <v>99</v>
      </c>
      <c r="D55" s="27">
        <v>45657</v>
      </c>
      <c r="E55" s="270"/>
      <c r="F55" s="3">
        <v>1097783.79</v>
      </c>
      <c r="G55" s="232">
        <f>H55/F55</f>
        <v>1</v>
      </c>
      <c r="H55" s="3">
        <f>SUM(F55)</f>
        <v>1097783.79</v>
      </c>
      <c r="I55" s="204" t="s">
        <v>53</v>
      </c>
      <c r="J55" s="3">
        <v>1105621.54</v>
      </c>
      <c r="K55" s="232">
        <f>L55/J55</f>
        <v>1</v>
      </c>
      <c r="L55" s="3">
        <f>SUM(J55)</f>
        <v>1105621.54</v>
      </c>
      <c r="M55" s="205"/>
      <c r="N55" s="166"/>
      <c r="O55" s="219"/>
      <c r="P55" s="220"/>
    </row>
    <row r="56" spans="1:16" x14ac:dyDescent="0.2">
      <c r="A56" s="22"/>
      <c r="E56" s="267"/>
      <c r="F56" s="229">
        <f>SUM(F55)</f>
        <v>1097783.79</v>
      </c>
      <c r="G56" s="233">
        <f>H56/F56</f>
        <v>1</v>
      </c>
      <c r="H56" s="229">
        <f>SUM(H55)</f>
        <v>1097783.79</v>
      </c>
      <c r="I56" s="209"/>
      <c r="J56" s="229">
        <f>SUM(J55)</f>
        <v>1105621.54</v>
      </c>
      <c r="K56" s="233">
        <f>L56/J56</f>
        <v>1</v>
      </c>
      <c r="L56" s="229">
        <f>SUM(L55)</f>
        <v>1105621.54</v>
      </c>
      <c r="M56" s="231"/>
      <c r="N56" s="166">
        <f>SUM(L56-H56)</f>
        <v>7837.75</v>
      </c>
      <c r="O56" s="219"/>
      <c r="P56" s="220">
        <v>9597.91</v>
      </c>
    </row>
    <row r="57" spans="1:16" x14ac:dyDescent="0.2">
      <c r="A57" s="22"/>
      <c r="E57" s="267"/>
      <c r="F57" s="54"/>
      <c r="G57" s="232"/>
      <c r="H57" s="54"/>
      <c r="I57" s="209"/>
      <c r="J57" s="54"/>
      <c r="K57" s="232"/>
      <c r="L57" s="54"/>
      <c r="M57" s="231"/>
      <c r="N57" s="166"/>
      <c r="O57" s="219"/>
      <c r="P57" s="220"/>
    </row>
    <row r="58" spans="1:16" x14ac:dyDescent="0.2">
      <c r="A58" s="22" t="s">
        <v>54</v>
      </c>
      <c r="B58" s="28" t="s">
        <v>99</v>
      </c>
      <c r="D58" s="27">
        <v>45657</v>
      </c>
      <c r="E58" s="270"/>
      <c r="F58" s="3">
        <v>2468798.16</v>
      </c>
      <c r="G58" s="232">
        <f t="shared" ref="G58:G59" si="13">H58/F58</f>
        <v>1</v>
      </c>
      <c r="H58" s="3">
        <f>SUM(F58)</f>
        <v>2468798.16</v>
      </c>
      <c r="I58" s="204" t="s">
        <v>53</v>
      </c>
      <c r="J58" s="3">
        <v>2650092.06</v>
      </c>
      <c r="K58" s="232">
        <f t="shared" ref="K58:K62" si="14">L58/J58</f>
        <v>1</v>
      </c>
      <c r="L58" s="3">
        <f>SUM(J58)</f>
        <v>2650092.06</v>
      </c>
      <c r="M58" s="205"/>
      <c r="N58" s="166"/>
      <c r="O58" s="219"/>
      <c r="P58" s="220"/>
    </row>
    <row r="59" spans="1:16" x14ac:dyDescent="0.2">
      <c r="A59" s="22"/>
      <c r="B59" s="221" t="s">
        <v>108</v>
      </c>
      <c r="C59" s="222"/>
      <c r="D59" s="223">
        <v>45382</v>
      </c>
      <c r="E59" s="270"/>
      <c r="F59" s="224">
        <v>4433.1099999999997</v>
      </c>
      <c r="G59" s="234">
        <f t="shared" si="13"/>
        <v>1</v>
      </c>
      <c r="H59" s="224">
        <f>SUM(F59)</f>
        <v>4433.1099999999997</v>
      </c>
      <c r="I59" s="204" t="s">
        <v>53</v>
      </c>
      <c r="J59" s="224">
        <v>4865.42</v>
      </c>
      <c r="K59" s="234">
        <f t="shared" si="14"/>
        <v>1</v>
      </c>
      <c r="L59" s="224">
        <f>SUM(J59)</f>
        <v>4865.42</v>
      </c>
      <c r="M59" s="205"/>
      <c r="N59" s="166"/>
      <c r="O59" s="219"/>
      <c r="P59" s="220"/>
    </row>
    <row r="60" spans="1:16" x14ac:dyDescent="0.2">
      <c r="A60" s="22"/>
      <c r="B60" t="s">
        <v>142</v>
      </c>
      <c r="D60" s="27">
        <v>45916</v>
      </c>
      <c r="E60" s="270"/>
      <c r="F60" s="3">
        <v>0</v>
      </c>
      <c r="G60" s="232"/>
      <c r="H60" s="3">
        <v>0</v>
      </c>
      <c r="I60" s="204" t="s">
        <v>53</v>
      </c>
      <c r="J60" s="3">
        <v>1035667.4</v>
      </c>
      <c r="K60" s="232">
        <f t="shared" si="14"/>
        <v>1</v>
      </c>
      <c r="L60" s="3">
        <v>1035667.4</v>
      </c>
      <c r="M60" s="205"/>
      <c r="N60" s="166"/>
      <c r="O60" s="219"/>
      <c r="P60" s="220"/>
    </row>
    <row r="61" spans="1:16" x14ac:dyDescent="0.2">
      <c r="A61" s="22"/>
      <c r="B61" s="123" t="s">
        <v>142</v>
      </c>
      <c r="C61" s="280"/>
      <c r="D61" s="125">
        <v>45646</v>
      </c>
      <c r="E61" s="270"/>
      <c r="F61" s="281">
        <v>1000000</v>
      </c>
      <c r="G61" s="288">
        <f t="shared" ref="G61:G62" si="15">H61/F61</f>
        <v>1</v>
      </c>
      <c r="H61" s="281">
        <v>1000000</v>
      </c>
      <c r="I61" s="204"/>
      <c r="J61" s="281">
        <v>0</v>
      </c>
      <c r="K61" s="288">
        <v>1</v>
      </c>
      <c r="L61" s="281">
        <v>0</v>
      </c>
      <c r="M61" s="205"/>
      <c r="N61" s="166"/>
      <c r="O61" s="219"/>
      <c r="P61" s="220"/>
    </row>
    <row r="62" spans="1:16" x14ac:dyDescent="0.2">
      <c r="A62" s="22"/>
      <c r="D62" s="27"/>
      <c r="E62" s="270"/>
      <c r="F62" s="229">
        <f>SUM(F58:F61)</f>
        <v>3473231.27</v>
      </c>
      <c r="G62" s="233">
        <f t="shared" si="15"/>
        <v>1</v>
      </c>
      <c r="H62" s="229">
        <f>SUM(H58:H61)</f>
        <v>3473231.27</v>
      </c>
      <c r="I62" s="209"/>
      <c r="J62" s="229">
        <f>SUM(J58:J61)</f>
        <v>3690624.88</v>
      </c>
      <c r="K62" s="233">
        <f t="shared" si="14"/>
        <v>1</v>
      </c>
      <c r="L62" s="229">
        <f>SUM(L58:L61)</f>
        <v>3690624.88</v>
      </c>
      <c r="M62" s="231"/>
      <c r="N62" s="166">
        <f>SUM(L62-H62)</f>
        <v>217393.60999999987</v>
      </c>
      <c r="O62" s="219"/>
      <c r="P62" s="220">
        <v>164770.6</v>
      </c>
    </row>
    <row r="63" spans="1:16" x14ac:dyDescent="0.2">
      <c r="A63" s="22"/>
      <c r="D63" s="27"/>
      <c r="E63" s="270"/>
      <c r="F63" s="54"/>
      <c r="G63" s="226"/>
      <c r="H63" s="54"/>
      <c r="I63" s="209"/>
      <c r="J63" s="54"/>
      <c r="K63" s="226"/>
      <c r="L63" s="54"/>
      <c r="M63" s="231"/>
      <c r="N63" s="166"/>
      <c r="O63" s="219"/>
      <c r="P63" s="220"/>
    </row>
    <row r="64" spans="1:16" x14ac:dyDescent="0.2">
      <c r="A64" s="22" t="s">
        <v>194</v>
      </c>
      <c r="B64" t="s">
        <v>99</v>
      </c>
      <c r="D64" s="27">
        <v>45657</v>
      </c>
      <c r="E64" s="267"/>
      <c r="F64" s="3">
        <v>1785819.6</v>
      </c>
      <c r="G64" s="232">
        <f>H64/F64</f>
        <v>1</v>
      </c>
      <c r="H64" s="3">
        <f>SUM(F64)</f>
        <v>1785819.6</v>
      </c>
      <c r="I64" s="204" t="s">
        <v>53</v>
      </c>
      <c r="J64" s="3">
        <v>1905509.42</v>
      </c>
      <c r="K64" s="232">
        <f>L64/J64</f>
        <v>1</v>
      </c>
      <c r="L64" s="3">
        <f>SUM(J64)</f>
        <v>1905509.42</v>
      </c>
      <c r="M64" s="205"/>
      <c r="N64" s="166"/>
      <c r="O64" s="219"/>
      <c r="P64" s="220"/>
    </row>
    <row r="65" spans="1:16" x14ac:dyDescent="0.2">
      <c r="A65" s="22"/>
      <c r="E65" s="267"/>
      <c r="F65" s="229">
        <f>SUM(F64)</f>
        <v>1785819.6</v>
      </c>
      <c r="G65" s="233">
        <f>H65/F65</f>
        <v>1</v>
      </c>
      <c r="H65" s="229">
        <f>SUM(H64)</f>
        <v>1785819.6</v>
      </c>
      <c r="I65" s="209"/>
      <c r="J65" s="229">
        <f>SUM(J64)</f>
        <v>1905509.42</v>
      </c>
      <c r="K65" s="233">
        <f>L65/J65</f>
        <v>1</v>
      </c>
      <c r="L65" s="229">
        <f>SUM(L64)</f>
        <v>1905509.42</v>
      </c>
      <c r="M65" s="231"/>
      <c r="N65" s="166">
        <f>SUM(L65-H65)</f>
        <v>119689.81999999983</v>
      </c>
      <c r="O65" s="219"/>
      <c r="P65" s="220">
        <v>99447.3</v>
      </c>
    </row>
    <row r="66" spans="1:16" x14ac:dyDescent="0.2">
      <c r="A66" s="22"/>
      <c r="D66" s="27"/>
      <c r="E66" s="270"/>
      <c r="F66" s="54"/>
      <c r="G66" s="226"/>
      <c r="H66" s="54"/>
      <c r="I66" s="209"/>
      <c r="J66" s="54"/>
      <c r="K66" s="226"/>
      <c r="L66" s="54"/>
      <c r="M66" s="231"/>
      <c r="N66" s="166"/>
      <c r="O66" s="219"/>
      <c r="P66" s="220"/>
    </row>
    <row r="67" spans="1:16" x14ac:dyDescent="0.2">
      <c r="A67" s="22" t="s">
        <v>55</v>
      </c>
      <c r="B67" t="s">
        <v>99</v>
      </c>
      <c r="D67" s="27">
        <v>45657</v>
      </c>
      <c r="E67" s="271"/>
      <c r="F67" s="11">
        <v>2619439.2000000002</v>
      </c>
      <c r="G67" s="232">
        <f>H67/F67</f>
        <v>1</v>
      </c>
      <c r="H67" s="3">
        <f>SUM(F67)</f>
        <v>2619439.2000000002</v>
      </c>
      <c r="I67" s="204" t="s">
        <v>53</v>
      </c>
      <c r="J67" s="11">
        <v>1467123.9</v>
      </c>
      <c r="K67" s="232">
        <f>L67/J67</f>
        <v>1</v>
      </c>
      <c r="L67" s="3">
        <f>SUM(J67)</f>
        <v>1467123.9</v>
      </c>
      <c r="M67" s="204"/>
      <c r="N67" s="166"/>
      <c r="O67" s="219"/>
      <c r="P67" s="220"/>
    </row>
    <row r="68" spans="1:16" x14ac:dyDescent="0.2">
      <c r="A68" s="22"/>
      <c r="D68" s="27"/>
      <c r="E68" s="271"/>
      <c r="F68" s="235">
        <f>SUM(F67)</f>
        <v>2619439.2000000002</v>
      </c>
      <c r="G68" s="233">
        <f>H68/F68</f>
        <v>1</v>
      </c>
      <c r="H68" s="235">
        <f>SUM(H67)</f>
        <v>2619439.2000000002</v>
      </c>
      <c r="I68" s="209"/>
      <c r="J68" s="235">
        <f>SUM(J67)</f>
        <v>1467123.9</v>
      </c>
      <c r="K68" s="233">
        <f>L68/J68</f>
        <v>1</v>
      </c>
      <c r="L68" s="235">
        <f>SUM(L67)</f>
        <v>1467123.9</v>
      </c>
      <c r="M68" s="209"/>
      <c r="N68" s="166">
        <f>SUM(L68-H68)</f>
        <v>-1152315.3000000003</v>
      </c>
      <c r="O68" s="219"/>
      <c r="P68" s="220">
        <v>-940515.91</v>
      </c>
    </row>
    <row r="69" spans="1:16" x14ac:dyDescent="0.2">
      <c r="A69" s="22"/>
      <c r="D69" s="27"/>
      <c r="E69" s="270"/>
      <c r="G69" s="232"/>
      <c r="I69" s="204"/>
      <c r="K69" s="232"/>
      <c r="M69" s="205"/>
      <c r="N69" s="166"/>
      <c r="O69" s="219"/>
      <c r="P69" s="220"/>
    </row>
    <row r="70" spans="1:16" x14ac:dyDescent="0.2">
      <c r="A70" s="22" t="s">
        <v>28</v>
      </c>
      <c r="B70" t="s">
        <v>99</v>
      </c>
      <c r="D70" s="27">
        <v>45657</v>
      </c>
      <c r="E70" s="270"/>
      <c r="F70" s="3">
        <v>141141.18</v>
      </c>
      <c r="G70" s="232">
        <f>H70/F70</f>
        <v>1</v>
      </c>
      <c r="H70" s="3">
        <f>SUM(F70)</f>
        <v>141141.18</v>
      </c>
      <c r="I70" s="204" t="s">
        <v>53</v>
      </c>
      <c r="J70" s="3">
        <v>61259.29</v>
      </c>
      <c r="K70" s="232">
        <f>L70/J70</f>
        <v>1</v>
      </c>
      <c r="L70" s="3">
        <f>SUM(J70)</f>
        <v>61259.29</v>
      </c>
      <c r="M70" s="205"/>
      <c r="N70" s="166"/>
      <c r="O70" s="219"/>
      <c r="P70" s="220"/>
    </row>
    <row r="71" spans="1:16" x14ac:dyDescent="0.2">
      <c r="A71" s="22"/>
      <c r="D71" s="27"/>
      <c r="E71" s="267"/>
      <c r="F71" s="229">
        <f>SUM(F70)</f>
        <v>141141.18</v>
      </c>
      <c r="G71" s="233">
        <f>H71/F71</f>
        <v>1</v>
      </c>
      <c r="H71" s="229">
        <f>SUM(H70)</f>
        <v>141141.18</v>
      </c>
      <c r="I71" s="209"/>
      <c r="J71" s="229">
        <f>SUM(J70)</f>
        <v>61259.29</v>
      </c>
      <c r="K71" s="233">
        <f>L71/J71</f>
        <v>1</v>
      </c>
      <c r="L71" s="229">
        <f>SUM(L70)</f>
        <v>61259.29</v>
      </c>
      <c r="M71" s="231"/>
      <c r="N71" s="166">
        <f>SUM(L71-H71)</f>
        <v>-79881.889999999985</v>
      </c>
      <c r="O71" s="219"/>
      <c r="P71" s="220">
        <v>247638.25</v>
      </c>
    </row>
    <row r="72" spans="1:16" x14ac:dyDescent="0.2">
      <c r="A72" s="22"/>
      <c r="D72" s="27"/>
      <c r="E72" s="270"/>
      <c r="F72" s="54"/>
      <c r="G72" s="232"/>
      <c r="H72" s="54"/>
      <c r="I72" s="209"/>
      <c r="J72" s="54"/>
      <c r="K72" s="232"/>
      <c r="L72" s="54"/>
      <c r="M72" s="231"/>
      <c r="N72" s="166"/>
      <c r="O72" s="219"/>
      <c r="P72" s="220"/>
    </row>
    <row r="73" spans="1:16" x14ac:dyDescent="0.2">
      <c r="A73" s="22" t="s">
        <v>13</v>
      </c>
      <c r="B73" t="s">
        <v>99</v>
      </c>
      <c r="D73" s="27">
        <v>45657</v>
      </c>
      <c r="E73" s="270"/>
      <c r="F73" s="3">
        <v>2372263.1</v>
      </c>
      <c r="G73" s="232">
        <v>1</v>
      </c>
      <c r="H73" s="3">
        <f>SUM(F73)</f>
        <v>2372263.1</v>
      </c>
      <c r="I73" s="204" t="s">
        <v>53</v>
      </c>
      <c r="J73" s="3">
        <v>3496061.79</v>
      </c>
      <c r="K73" s="232">
        <v>1</v>
      </c>
      <c r="L73" s="3">
        <f>SUM(J73)</f>
        <v>3496061.79</v>
      </c>
      <c r="M73" s="205"/>
      <c r="N73" s="166"/>
      <c r="O73" s="219"/>
      <c r="P73" s="220"/>
    </row>
    <row r="74" spans="1:16" x14ac:dyDescent="0.2">
      <c r="A74" s="22"/>
      <c r="D74" s="27"/>
      <c r="E74" s="267"/>
      <c r="F74" s="229">
        <f>SUM(F73)</f>
        <v>2372263.1</v>
      </c>
      <c r="G74" s="233">
        <v>1</v>
      </c>
      <c r="H74" s="229">
        <f>SUM(H73)</f>
        <v>2372263.1</v>
      </c>
      <c r="I74" s="209"/>
      <c r="J74" s="229">
        <f>SUM(J73)</f>
        <v>3496061.79</v>
      </c>
      <c r="K74" s="233">
        <v>1</v>
      </c>
      <c r="L74" s="229">
        <f>SUM(L73)</f>
        <v>3496061.79</v>
      </c>
      <c r="M74" s="231"/>
      <c r="N74" s="166">
        <f>SUM(L74-H74)</f>
        <v>1123798.69</v>
      </c>
      <c r="O74" s="219"/>
      <c r="P74" s="220">
        <v>2628531.7999999998</v>
      </c>
    </row>
    <row r="75" spans="1:16" x14ac:dyDescent="0.2">
      <c r="A75" s="22"/>
      <c r="D75" s="27"/>
      <c r="E75" s="270"/>
      <c r="F75" s="54"/>
      <c r="G75" s="226"/>
      <c r="H75" s="54"/>
      <c r="I75" s="209"/>
      <c r="J75" s="54"/>
      <c r="K75" s="226"/>
      <c r="L75" s="54"/>
      <c r="M75" s="231"/>
      <c r="N75" s="166"/>
      <c r="O75" s="219"/>
      <c r="P75" s="220"/>
    </row>
    <row r="76" spans="1:16" outlineLevel="1" x14ac:dyDescent="0.2">
      <c r="A76" s="22" t="s">
        <v>7</v>
      </c>
      <c r="B76" t="s">
        <v>99</v>
      </c>
      <c r="D76" s="27">
        <v>45657</v>
      </c>
      <c r="E76" s="270"/>
      <c r="F76" s="71">
        <v>127492.73</v>
      </c>
      <c r="G76" s="232">
        <f>H76/F76</f>
        <v>1</v>
      </c>
      <c r="H76" s="3">
        <f>SUM(F76)</f>
        <v>127492.73</v>
      </c>
      <c r="I76" s="204" t="s">
        <v>53</v>
      </c>
      <c r="J76" s="71">
        <v>62507.69</v>
      </c>
      <c r="K76" s="232">
        <f>L76/J76</f>
        <v>1</v>
      </c>
      <c r="L76" s="3">
        <f>SUM(J76)</f>
        <v>62507.69</v>
      </c>
      <c r="M76" s="236"/>
      <c r="N76" s="166"/>
      <c r="O76" s="219"/>
      <c r="P76" s="220"/>
    </row>
    <row r="77" spans="1:16" outlineLevel="1" x14ac:dyDescent="0.2">
      <c r="A77" s="22"/>
      <c r="B77" s="221" t="s">
        <v>108</v>
      </c>
      <c r="C77" s="222"/>
      <c r="D77" s="223">
        <v>45657</v>
      </c>
      <c r="E77" s="270"/>
      <c r="F77" s="228">
        <v>8630.59</v>
      </c>
      <c r="G77" s="234">
        <f>H77/F77</f>
        <v>1</v>
      </c>
      <c r="H77" s="224">
        <f>SUM(F77)</f>
        <v>8630.59</v>
      </c>
      <c r="I77" s="204" t="s">
        <v>53</v>
      </c>
      <c r="J77" s="228">
        <v>9302.75</v>
      </c>
      <c r="K77" s="234">
        <f>L77/J77</f>
        <v>1</v>
      </c>
      <c r="L77" s="224">
        <f>SUM(J77)</f>
        <v>9302.75</v>
      </c>
      <c r="M77" s="236"/>
      <c r="N77" s="166"/>
      <c r="O77" s="219"/>
      <c r="P77" s="220"/>
    </row>
    <row r="78" spans="1:16" outlineLevel="1" x14ac:dyDescent="0.2">
      <c r="A78" s="22"/>
      <c r="B78" t="s">
        <v>144</v>
      </c>
      <c r="D78" s="27">
        <v>45657</v>
      </c>
      <c r="E78" s="270"/>
      <c r="F78" s="71">
        <v>436801.96</v>
      </c>
      <c r="G78" s="232">
        <f t="shared" ref="G78" si="16">H78/F78</f>
        <v>1</v>
      </c>
      <c r="H78" s="3">
        <f>SUM(F78)</f>
        <v>436801.96</v>
      </c>
      <c r="I78" s="204" t="s">
        <v>53</v>
      </c>
      <c r="J78" s="71">
        <v>442178.38</v>
      </c>
      <c r="K78" s="232">
        <f t="shared" ref="K78" si="17">L78/J78</f>
        <v>1</v>
      </c>
      <c r="L78" s="3">
        <f>SUM(J78)</f>
        <v>442178.38</v>
      </c>
      <c r="M78" s="236"/>
      <c r="N78" s="166"/>
      <c r="O78" s="219"/>
      <c r="P78" s="220"/>
    </row>
    <row r="79" spans="1:16" outlineLevel="1" x14ac:dyDescent="0.2">
      <c r="A79" s="22"/>
      <c r="B79" s="221" t="s">
        <v>142</v>
      </c>
      <c r="C79" s="222"/>
      <c r="D79" s="223">
        <v>45916</v>
      </c>
      <c r="E79" s="270"/>
      <c r="F79" s="228">
        <v>0</v>
      </c>
      <c r="G79" s="234">
        <v>0</v>
      </c>
      <c r="H79" s="224">
        <v>0</v>
      </c>
      <c r="I79" s="204"/>
      <c r="J79" s="228">
        <v>1553501.1</v>
      </c>
      <c r="K79" s="234">
        <f>L79/J79</f>
        <v>1</v>
      </c>
      <c r="L79" s="224">
        <v>1553501.1</v>
      </c>
      <c r="M79" s="236"/>
      <c r="N79" s="166"/>
      <c r="O79" s="219"/>
      <c r="P79" s="220"/>
    </row>
    <row r="80" spans="1:16" outlineLevel="1" x14ac:dyDescent="0.2">
      <c r="A80" s="22"/>
      <c r="B80" s="242" t="s">
        <v>142</v>
      </c>
      <c r="C80" s="279"/>
      <c r="D80" s="263">
        <v>45646</v>
      </c>
      <c r="E80" s="270"/>
      <c r="F80" s="240">
        <v>1500000</v>
      </c>
      <c r="G80" s="289">
        <v>0</v>
      </c>
      <c r="H80" s="265">
        <v>1500000</v>
      </c>
      <c r="I80" s="204"/>
      <c r="J80" s="240">
        <v>0</v>
      </c>
      <c r="K80" s="289">
        <v>1</v>
      </c>
      <c r="L80" s="265">
        <v>0</v>
      </c>
      <c r="M80" s="236"/>
      <c r="N80" s="166"/>
      <c r="O80" s="219"/>
      <c r="P80" s="220"/>
    </row>
    <row r="81" spans="1:16" x14ac:dyDescent="0.2">
      <c r="A81" s="22"/>
      <c r="E81" s="270"/>
      <c r="F81" s="229">
        <f>SUM(F76:F80)</f>
        <v>2072925.28</v>
      </c>
      <c r="G81" s="233">
        <f>H81/F81</f>
        <v>1</v>
      </c>
      <c r="H81" s="229">
        <f>SUM(H76:H80)</f>
        <v>2072925.28</v>
      </c>
      <c r="I81" s="209"/>
      <c r="J81" s="229">
        <f>SUM(J76:J80)</f>
        <v>2067489.9200000002</v>
      </c>
      <c r="K81" s="233">
        <f>L81/J81</f>
        <v>1</v>
      </c>
      <c r="L81" s="229">
        <f>SUM(L76:L80)</f>
        <v>2067489.9200000002</v>
      </c>
      <c r="M81" s="231"/>
      <c r="N81" s="166">
        <f>SUM(L81-H81)</f>
        <v>-5435.3599999998696</v>
      </c>
      <c r="O81" s="219"/>
      <c r="P81" s="220">
        <v>4755.1899999999996</v>
      </c>
    </row>
    <row r="82" spans="1:16" x14ac:dyDescent="0.2">
      <c r="A82" s="22"/>
      <c r="D82" s="27"/>
      <c r="E82" s="270"/>
      <c r="G82" s="232"/>
      <c r="I82" s="204"/>
      <c r="K82" s="232"/>
      <c r="M82" s="205"/>
      <c r="N82" s="166"/>
      <c r="O82" s="219"/>
      <c r="P82" s="220"/>
    </row>
    <row r="83" spans="1:16" x14ac:dyDescent="0.2">
      <c r="A83" s="22" t="s">
        <v>14</v>
      </c>
      <c r="B83" t="s">
        <v>99</v>
      </c>
      <c r="D83" s="27">
        <v>45657</v>
      </c>
      <c r="E83" s="270"/>
      <c r="F83" s="3">
        <v>11028444.65</v>
      </c>
      <c r="G83" s="232">
        <f>H83/F83</f>
        <v>1</v>
      </c>
      <c r="H83" s="3">
        <f>SUM(F83)</f>
        <v>11028444.65</v>
      </c>
      <c r="I83" s="204" t="s">
        <v>53</v>
      </c>
      <c r="J83" s="3">
        <v>17273867.379999999</v>
      </c>
      <c r="K83" s="232">
        <f>L83/J83</f>
        <v>1</v>
      </c>
      <c r="L83" s="3">
        <f>SUM(J83)</f>
        <v>17273867.379999999</v>
      </c>
      <c r="M83" s="205"/>
      <c r="N83" s="166"/>
      <c r="O83" s="219"/>
      <c r="P83" s="220"/>
    </row>
    <row r="84" spans="1:16" x14ac:dyDescent="0.2">
      <c r="D84" s="37"/>
      <c r="E84" s="267"/>
      <c r="F84" s="229">
        <f>SUM(F83)</f>
        <v>11028444.65</v>
      </c>
      <c r="G84" s="233">
        <f>H84/F84</f>
        <v>1</v>
      </c>
      <c r="H84" s="229">
        <f>SUM(H83)</f>
        <v>11028444.65</v>
      </c>
      <c r="I84" s="209"/>
      <c r="J84" s="229">
        <f>SUM(J83)</f>
        <v>17273867.379999999</v>
      </c>
      <c r="K84" s="233">
        <f>L84/J84</f>
        <v>1</v>
      </c>
      <c r="L84" s="229">
        <f>SUM(L83)</f>
        <v>17273867.379999999</v>
      </c>
      <c r="M84" s="231"/>
      <c r="N84" s="166">
        <f>SUM(L84-H84)</f>
        <v>6245422.7299999986</v>
      </c>
      <c r="O84" s="219"/>
      <c r="P84" s="220">
        <v>-1576613.08</v>
      </c>
    </row>
    <row r="85" spans="1:16" x14ac:dyDescent="0.2">
      <c r="A85" t="s">
        <v>113</v>
      </c>
      <c r="D85" s="27"/>
      <c r="E85" s="267"/>
      <c r="G85" s="232"/>
      <c r="I85" s="204"/>
      <c r="K85" s="232"/>
      <c r="M85" s="205"/>
      <c r="N85" s="166"/>
      <c r="O85" s="219"/>
      <c r="P85" s="220"/>
    </row>
    <row r="86" spans="1:16" ht="13.5" thickBot="1" x14ac:dyDescent="0.25">
      <c r="A86" s="41" t="s">
        <v>56</v>
      </c>
      <c r="B86" s="44"/>
      <c r="C86" s="165"/>
      <c r="D86" s="43"/>
      <c r="E86" s="272"/>
      <c r="F86" s="59">
        <f>SUM(F84,F74,F56,F52,F71,F65,F48,F68,F62,F81,F45,F37,F41,F34,F29)</f>
        <v>78917879.75999999</v>
      </c>
      <c r="G86" s="237"/>
      <c r="H86" s="59">
        <f>SUM(H84,H74,H56,H52,H71,H65,H48,H68,H62,H81,H45,H37,H41,H34,H29)</f>
        <v>78917252.270000011</v>
      </c>
      <c r="I86" s="60"/>
      <c r="J86" s="59">
        <f>SUM(J84,J74,J56,J52,J71,J65,J48,J68,J62,J81,J45,J37,J41,J34,J29)</f>
        <v>99809036.959999979</v>
      </c>
      <c r="K86" s="237"/>
      <c r="L86" s="59">
        <f>SUM(L84,L74,L56,L52,L71,L65,L48,L68,L62,L81,L45,L37,L41,L34,L29)</f>
        <v>99809712.099999964</v>
      </c>
      <c r="M86" s="61"/>
      <c r="N86" s="167">
        <f t="shared" ref="N86" si="18">SUM(L86-H86)</f>
        <v>20892459.829999954</v>
      </c>
      <c r="O86" s="219"/>
      <c r="P86" s="238">
        <f>SUM(P6:P85)</f>
        <v>13946298.73</v>
      </c>
    </row>
    <row r="87" spans="1:16" ht="13.5" thickTop="1" x14ac:dyDescent="0.2"/>
  </sheetData>
  <sortState xmlns:xlrd2="http://schemas.microsoft.com/office/spreadsheetml/2017/richdata2" ref="K2">
    <sortCondition sortBy="cellColor" ref="K2"/>
  </sortState>
  <mergeCells count="1">
    <mergeCell ref="P1:P4"/>
  </mergeCells>
  <phoneticPr fontId="5" type="noConversion"/>
  <printOptions gridLines="1"/>
  <pageMargins left="0.5" right="0.5" top="0.3" bottom="0.3" header="0" footer="0.05"/>
  <pageSetup paperSize="5" scale="86" firstPageNumber="5" fitToHeight="0" orientation="landscape" useFirstPageNumber="1" r:id="rId1"/>
  <headerFooter alignWithMargins="0">
    <oddHeader>&amp;CMarket Value Comparison</oddHeader>
    <oddFooter>&amp;C&amp;P</oddFooter>
  </headerFooter>
  <ignoredErrors>
    <ignoredError sqref="K29 I35:K35 I82:K82 I63:K63 I45:K46 I37:K38 I36 K36 I41:K42 I40 K40 K44 I48:K49 I47 K47 I52:K53 I51 K51 I56:K57 I55 K55 I58:I59 K58:K59 I62 K62 I65:K66 I64 K64 I68:K69 I67 K67 I71:K72 I70 K70 I74:K75 I73 K73 I76:I78 K76:K78 I81 K81 G85:K87 I83 K83 I84:K84 G6:G11 G21:G25 G29:G32 I34 K34 I44 G80:G84 G34:G49 G13:G19 G55:G59 G61:G78 G51:G53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7</vt:i4>
      </vt:variant>
    </vt:vector>
  </HeadingPairs>
  <TitlesOfParts>
    <vt:vector size="12" baseType="lpstr">
      <vt:lpstr>Cover</vt:lpstr>
      <vt:lpstr>Gov Code</vt:lpstr>
      <vt:lpstr>Recap Sheet</vt:lpstr>
      <vt:lpstr>Taylor County Security Holdings</vt:lpstr>
      <vt:lpstr>Market Comp</vt:lpstr>
      <vt:lpstr>Cover!Print_Area</vt:lpstr>
      <vt:lpstr>'Gov Code'!Print_Area</vt:lpstr>
      <vt:lpstr>'Market Comp'!Print_Area</vt:lpstr>
      <vt:lpstr>'Recap Sheet'!Print_Area</vt:lpstr>
      <vt:lpstr>'Taylor County Security Holdings'!Print_Area</vt:lpstr>
      <vt:lpstr>'Market Comp'!Print_Titles</vt:lpstr>
      <vt:lpstr>'Taylor County Security Holdings'!Print_Titles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Treasurer Office</dc:creator>
  <cp:lastModifiedBy>Becky Freeman</cp:lastModifiedBy>
  <cp:lastPrinted>2025-02-19T23:49:10Z</cp:lastPrinted>
  <dcterms:created xsi:type="dcterms:W3CDTF">2010-07-30T14:08:17Z</dcterms:created>
  <dcterms:modified xsi:type="dcterms:W3CDTF">2025-02-19T23:49:41Z</dcterms:modified>
</cp:coreProperties>
</file>