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777" documentId="8_{F2A3F153-6222-44CA-A1C8-F07DACB64F50}" xr6:coauthVersionLast="47" xr6:coauthVersionMax="47" xr10:uidLastSave="{69A6B180-893F-42B9-B148-718CEA5419B7}"/>
  <bookViews>
    <workbookView xWindow="-11460" yWindow="16080" windowWidth="51840" windowHeight="21120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Comp'!$A$1:$P$98</definedName>
    <definedName name="_xlnm.Print_Area" localSheetId="2">'Recap Sheet'!$A$1:$L$45</definedName>
    <definedName name="_xlnm.Print_Area" localSheetId="3">'Taylor County Security Holdings'!$A$1:$N$135</definedName>
    <definedName name="_xlnm.Print_Titles" localSheetId="4">'Market Comp'!$1:$5</definedName>
    <definedName name="_xlnm.Print_Titles" localSheetId="3">'Taylor County Security Holdings'!$4:$6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F13" i="1"/>
  <c r="K9" i="1"/>
  <c r="J9" i="1"/>
  <c r="I9" i="1"/>
  <c r="K72" i="3"/>
  <c r="G72" i="3"/>
  <c r="J49" i="3"/>
  <c r="H49" i="3"/>
  <c r="F49" i="3"/>
  <c r="L48" i="3"/>
  <c r="K48" i="3" s="1"/>
  <c r="L71" i="3"/>
  <c r="K71" i="3"/>
  <c r="K28" i="3"/>
  <c r="K26" i="3"/>
  <c r="K29" i="3"/>
  <c r="K27" i="3"/>
  <c r="G24" i="3"/>
  <c r="G22" i="3"/>
  <c r="G20" i="3"/>
  <c r="G25" i="3"/>
  <c r="G23" i="3"/>
  <c r="L49" i="3" l="1"/>
  <c r="N49" i="3" s="1"/>
  <c r="J39" i="2"/>
  <c r="J118" i="2"/>
  <c r="J67" i="2"/>
  <c r="K49" i="3" l="1"/>
  <c r="B22" i="2"/>
  <c r="G133" i="2" l="1"/>
  <c r="D52" i="2"/>
  <c r="K52" i="2"/>
  <c r="I52" i="2"/>
  <c r="H13" i="1" s="1"/>
  <c r="L13" i="1" s="1"/>
  <c r="H52" i="2"/>
  <c r="F52" i="2"/>
  <c r="H64" i="2"/>
  <c r="H67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R39" i="2" l="1"/>
  <c r="Q39" i="2"/>
  <c r="P39" i="2"/>
  <c r="K73" i="2"/>
  <c r="I73" i="2"/>
  <c r="H73" i="2"/>
  <c r="I109" i="2" l="1"/>
  <c r="H109" i="2"/>
  <c r="K23" i="3"/>
  <c r="K25" i="3"/>
  <c r="H12" i="3"/>
  <c r="K24" i="3"/>
  <c r="K22" i="3"/>
  <c r="K21" i="3"/>
  <c r="G21" i="3"/>
  <c r="J38" i="3"/>
  <c r="F38" i="3"/>
  <c r="O39" i="2" l="1"/>
  <c r="G39" i="2"/>
  <c r="G135" i="2" s="1"/>
  <c r="K32" i="2"/>
  <c r="K31" i="2"/>
  <c r="K38" i="2"/>
  <c r="K37" i="2"/>
  <c r="K36" i="2"/>
  <c r="K35" i="2"/>
  <c r="K34" i="2"/>
  <c r="K33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30" i="2"/>
  <c r="D132" i="2"/>
  <c r="D131" i="2"/>
  <c r="D101" i="2"/>
  <c r="D99" i="2"/>
  <c r="K91" i="3"/>
  <c r="L30" i="3"/>
  <c r="K20" i="3"/>
  <c r="H42" i="3"/>
  <c r="G42" i="3" s="1"/>
  <c r="H100" i="2" l="1"/>
  <c r="I120" i="2" l="1"/>
  <c r="H120" i="2"/>
  <c r="R133" i="2"/>
  <c r="R135" i="2" s="1"/>
  <c r="Q133" i="2"/>
  <c r="Q135" i="2" s="1"/>
  <c r="P133" i="2"/>
  <c r="P135" i="2" s="1"/>
  <c r="O133" i="2"/>
  <c r="I106" i="2"/>
  <c r="H106" i="2"/>
  <c r="F43" i="3"/>
  <c r="J43" i="3"/>
  <c r="L42" i="3"/>
  <c r="K42" i="3" s="1"/>
  <c r="K14" i="3"/>
  <c r="F96" i="3"/>
  <c r="H95" i="3"/>
  <c r="H96" i="3" s="1"/>
  <c r="F93" i="3"/>
  <c r="H90" i="3"/>
  <c r="G90" i="3" s="1"/>
  <c r="H89" i="3"/>
  <c r="G89" i="3" s="1"/>
  <c r="H88" i="3"/>
  <c r="F86" i="3"/>
  <c r="H85" i="3"/>
  <c r="H86" i="3" s="1"/>
  <c r="F83" i="3"/>
  <c r="H82" i="3"/>
  <c r="H83" i="3" s="1"/>
  <c r="F80" i="3"/>
  <c r="H79" i="3"/>
  <c r="H80" i="3" s="1"/>
  <c r="F77" i="3"/>
  <c r="H76" i="3"/>
  <c r="H77" i="3" s="1"/>
  <c r="F74" i="3"/>
  <c r="H70" i="3"/>
  <c r="G70" i="3" s="1"/>
  <c r="H69" i="3"/>
  <c r="F67" i="3"/>
  <c r="H66" i="3"/>
  <c r="H67" i="3" s="1"/>
  <c r="F63" i="3"/>
  <c r="H62" i="3"/>
  <c r="H63" i="3" s="1"/>
  <c r="F59" i="3"/>
  <c r="H58" i="3"/>
  <c r="H59" i="3" s="1"/>
  <c r="F56" i="3"/>
  <c r="H55" i="3"/>
  <c r="H56" i="3" s="1"/>
  <c r="F53" i="3"/>
  <c r="H52" i="3"/>
  <c r="H53" i="3" s="1"/>
  <c r="F46" i="3"/>
  <c r="H45" i="3"/>
  <c r="H46" i="3" s="1"/>
  <c r="H41" i="3"/>
  <c r="H43" i="3" s="1"/>
  <c r="G19" i="3"/>
  <c r="G18" i="3"/>
  <c r="G17" i="3"/>
  <c r="G16" i="3"/>
  <c r="G15" i="3"/>
  <c r="H13" i="3"/>
  <c r="H11" i="3"/>
  <c r="G11" i="3" s="1"/>
  <c r="H10" i="3"/>
  <c r="G10" i="3" s="1"/>
  <c r="H9" i="3"/>
  <c r="G9" i="3" s="1"/>
  <c r="H8" i="3"/>
  <c r="G8" i="3" s="1"/>
  <c r="H7" i="3"/>
  <c r="G7" i="3" s="1"/>
  <c r="H6" i="3"/>
  <c r="G83" i="3" l="1"/>
  <c r="H38" i="3"/>
  <c r="G38" i="3" s="1"/>
  <c r="G45" i="3"/>
  <c r="G46" i="3"/>
  <c r="G53" i="3"/>
  <c r="G52" i="3"/>
  <c r="G76" i="3"/>
  <c r="G66" i="3"/>
  <c r="G41" i="3"/>
  <c r="G67" i="3"/>
  <c r="G63" i="3"/>
  <c r="G43" i="3"/>
  <c r="G59" i="3"/>
  <c r="G62" i="3"/>
  <c r="G56" i="3"/>
  <c r="G77" i="3"/>
  <c r="H74" i="3"/>
  <c r="G74" i="3" s="1"/>
  <c r="G55" i="3"/>
  <c r="H93" i="3"/>
  <c r="G93" i="3" s="1"/>
  <c r="G58" i="3"/>
  <c r="G80" i="3"/>
  <c r="G69" i="3"/>
  <c r="G79" i="3"/>
  <c r="G96" i="3"/>
  <c r="G82" i="3"/>
  <c r="G6" i="3"/>
  <c r="G88" i="3"/>
  <c r="G95" i="3"/>
  <c r="K45" i="2" l="1"/>
  <c r="I45" i="2"/>
  <c r="H45" i="2"/>
  <c r="H13" i="2" l="1"/>
  <c r="H12" i="2"/>
  <c r="I12" i="2" s="1"/>
  <c r="I13" i="2" l="1"/>
  <c r="F14" i="1"/>
  <c r="P98" i="3"/>
  <c r="J93" i="3" l="1"/>
  <c r="J74" i="3"/>
  <c r="J46" i="3"/>
  <c r="L11" i="3"/>
  <c r="K11" i="3" s="1"/>
  <c r="L10" i="3"/>
  <c r="K10" i="3" s="1"/>
  <c r="K93" i="2" l="1"/>
  <c r="K72" i="2"/>
  <c r="K11" i="2" l="1"/>
  <c r="H11" i="2"/>
  <c r="I11" i="2" s="1"/>
  <c r="K12" i="2"/>
  <c r="K13" i="2"/>
  <c r="E26" i="1" l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2" i="1"/>
  <c r="F11" i="1"/>
  <c r="G11" i="1" s="1"/>
  <c r="F10" i="1"/>
  <c r="D26" i="1"/>
  <c r="C26" i="1"/>
  <c r="B26" i="1"/>
  <c r="J56" i="3"/>
  <c r="K19" i="3"/>
  <c r="K16" i="3"/>
  <c r="L12" i="3"/>
  <c r="K12" i="3" s="1"/>
  <c r="I123" i="2"/>
  <c r="H123" i="2"/>
  <c r="I124" i="2"/>
  <c r="H124" i="2"/>
  <c r="H99" i="2"/>
  <c r="F99" i="2"/>
  <c r="F113" i="2" s="1"/>
  <c r="F83" i="2"/>
  <c r="F77" i="2"/>
  <c r="F61" i="2"/>
  <c r="F80" i="2"/>
  <c r="F58" i="2"/>
  <c r="F49" i="2"/>
  <c r="F55" i="2"/>
  <c r="F89" i="2"/>
  <c r="F90" i="2"/>
  <c r="F91" i="2"/>
  <c r="F71" i="2"/>
  <c r="F70" i="2"/>
  <c r="F64" i="2"/>
  <c r="F86" i="2"/>
  <c r="F67" i="2"/>
  <c r="F44" i="2"/>
  <c r="F9" i="1" l="1"/>
  <c r="F115" i="2"/>
  <c r="F116" i="2"/>
  <c r="F117" i="2"/>
  <c r="F118" i="2"/>
  <c r="F100" i="2"/>
  <c r="F130" i="2"/>
  <c r="F119" i="2"/>
  <c r="F121" i="2"/>
  <c r="F124" i="2"/>
  <c r="F125" i="2"/>
  <c r="F126" i="2"/>
  <c r="F127" i="2"/>
  <c r="F128" i="2"/>
  <c r="F129" i="2"/>
  <c r="F114" i="2"/>
  <c r="F122" i="2"/>
  <c r="F123" i="2"/>
  <c r="F131" i="2"/>
  <c r="F132" i="2"/>
  <c r="F101" i="2"/>
  <c r="F102" i="2"/>
  <c r="F103" i="2"/>
  <c r="F104" i="2"/>
  <c r="F105" i="2"/>
  <c r="F106" i="2"/>
  <c r="F107" i="2"/>
  <c r="F108" i="2"/>
  <c r="F109" i="2"/>
  <c r="F110" i="2"/>
  <c r="F111" i="2"/>
  <c r="F120" i="2" s="1"/>
  <c r="F112" i="2"/>
  <c r="F26" i="1" l="1"/>
  <c r="G9" i="1"/>
  <c r="H10" i="2"/>
  <c r="I10" i="2" s="1"/>
  <c r="H9" i="2"/>
  <c r="I9" i="2" s="1"/>
  <c r="H8" i="2"/>
  <c r="I8" i="2" s="1"/>
  <c r="H7" i="2"/>
  <c r="L95" i="3"/>
  <c r="L85" i="3"/>
  <c r="L66" i="3"/>
  <c r="L62" i="3"/>
  <c r="L82" i="3"/>
  <c r="L76" i="3"/>
  <c r="L58" i="3"/>
  <c r="L79" i="3"/>
  <c r="L70" i="3"/>
  <c r="L69" i="3"/>
  <c r="L90" i="3"/>
  <c r="L89" i="3"/>
  <c r="L88" i="3"/>
  <c r="L55" i="3"/>
  <c r="L56" i="3" s="1"/>
  <c r="L45" i="3"/>
  <c r="L52" i="3"/>
  <c r="L41" i="3"/>
  <c r="L43" i="3" s="1"/>
  <c r="L9" i="3"/>
  <c r="L8" i="3"/>
  <c r="L7" i="3"/>
  <c r="L6" i="3"/>
  <c r="H98" i="3"/>
  <c r="F98" i="3"/>
  <c r="J98" i="2"/>
  <c r="G98" i="2"/>
  <c r="J133" i="2"/>
  <c r="I132" i="2"/>
  <c r="I131" i="2"/>
  <c r="I130" i="2"/>
  <c r="I129" i="2"/>
  <c r="I128" i="2"/>
  <c r="I127" i="2"/>
  <c r="I126" i="2"/>
  <c r="I125" i="2"/>
  <c r="I122" i="2"/>
  <c r="I121" i="2"/>
  <c r="I119" i="2"/>
  <c r="I118" i="2"/>
  <c r="I117" i="2"/>
  <c r="I116" i="2"/>
  <c r="I115" i="2"/>
  <c r="I114" i="2"/>
  <c r="I113" i="2"/>
  <c r="I112" i="2"/>
  <c r="I111" i="2"/>
  <c r="I110" i="2"/>
  <c r="I108" i="2"/>
  <c r="I107" i="2"/>
  <c r="I105" i="2"/>
  <c r="I104" i="2"/>
  <c r="I103" i="2"/>
  <c r="I102" i="2"/>
  <c r="I101" i="2"/>
  <c r="I100" i="2"/>
  <c r="I99" i="2"/>
  <c r="I67" i="2"/>
  <c r="H22" i="1" s="1"/>
  <c r="I86" i="2"/>
  <c r="H23" i="1" s="1"/>
  <c r="I64" i="2"/>
  <c r="H21" i="1" s="1"/>
  <c r="I83" i="2"/>
  <c r="H20" i="1" s="1"/>
  <c r="I77" i="2"/>
  <c r="H19" i="1" s="1"/>
  <c r="I61" i="2"/>
  <c r="H18" i="1" s="1"/>
  <c r="I80" i="2"/>
  <c r="H17" i="1" s="1"/>
  <c r="I71" i="2"/>
  <c r="I70" i="2"/>
  <c r="H16" i="1" s="1"/>
  <c r="I90" i="2"/>
  <c r="I91" i="2"/>
  <c r="I89" i="2"/>
  <c r="H15" i="1" s="1"/>
  <c r="I58" i="2"/>
  <c r="H14" i="1" s="1"/>
  <c r="I49" i="2"/>
  <c r="H12" i="1" s="1"/>
  <c r="I55" i="2"/>
  <c r="H132" i="2"/>
  <c r="H131" i="2"/>
  <c r="H130" i="2"/>
  <c r="H129" i="2"/>
  <c r="H128" i="2"/>
  <c r="H127" i="2"/>
  <c r="H126" i="2"/>
  <c r="H125" i="2"/>
  <c r="H122" i="2"/>
  <c r="H121" i="2"/>
  <c r="H119" i="2"/>
  <c r="H118" i="2"/>
  <c r="H117" i="2"/>
  <c r="H116" i="2"/>
  <c r="H115" i="2"/>
  <c r="H114" i="2"/>
  <c r="H113" i="2"/>
  <c r="H112" i="2"/>
  <c r="H111" i="2"/>
  <c r="H110" i="2"/>
  <c r="H108" i="2"/>
  <c r="H107" i="2"/>
  <c r="H105" i="2"/>
  <c r="H104" i="2"/>
  <c r="H103" i="2"/>
  <c r="H102" i="2"/>
  <c r="H101" i="2"/>
  <c r="H86" i="2"/>
  <c r="H83" i="2"/>
  <c r="H77" i="2"/>
  <c r="H61" i="2"/>
  <c r="H80" i="2"/>
  <c r="H71" i="2"/>
  <c r="H70" i="2"/>
  <c r="H91" i="2"/>
  <c r="H90" i="2"/>
  <c r="H89" i="2"/>
  <c r="H58" i="2"/>
  <c r="H49" i="2"/>
  <c r="H55" i="2"/>
  <c r="H11" i="1" s="1"/>
  <c r="I44" i="2"/>
  <c r="H10" i="1" s="1"/>
  <c r="H44" i="2"/>
  <c r="D100" i="2"/>
  <c r="D67" i="2"/>
  <c r="D86" i="2"/>
  <c r="D64" i="2"/>
  <c r="D83" i="2"/>
  <c r="D77" i="2"/>
  <c r="D61" i="2"/>
  <c r="D80" i="2"/>
  <c r="D70" i="2"/>
  <c r="D89" i="2"/>
  <c r="D58" i="2"/>
  <c r="D49" i="2"/>
  <c r="D55" i="2"/>
  <c r="D44" i="2"/>
  <c r="L38" i="3" l="1"/>
  <c r="K38" i="3" s="1"/>
  <c r="H39" i="2"/>
  <c r="I7" i="2"/>
  <c r="O135" i="2"/>
  <c r="L93" i="3"/>
  <c r="L74" i="3"/>
  <c r="H98" i="2"/>
  <c r="I98" i="2"/>
  <c r="I133" i="2"/>
  <c r="H24" i="1" s="1"/>
  <c r="K8" i="2"/>
  <c r="K9" i="2"/>
  <c r="K10" i="2"/>
  <c r="I39" i="2" l="1"/>
  <c r="H9" i="1"/>
  <c r="N38" i="3"/>
  <c r="I135" i="2"/>
  <c r="K98" i="2" l="1"/>
  <c r="L46" i="3" l="1"/>
  <c r="L53" i="3"/>
  <c r="N43" i="3"/>
  <c r="J53" i="3"/>
  <c r="L80" i="3"/>
  <c r="J80" i="3"/>
  <c r="L96" i="3"/>
  <c r="L86" i="3"/>
  <c r="L67" i="3"/>
  <c r="L63" i="3"/>
  <c r="L83" i="3"/>
  <c r="L77" i="3"/>
  <c r="L59" i="3"/>
  <c r="J59" i="3"/>
  <c r="J77" i="3"/>
  <c r="J83" i="3"/>
  <c r="J63" i="3"/>
  <c r="J67" i="3"/>
  <c r="J86" i="3"/>
  <c r="J96" i="3"/>
  <c r="K18" i="3"/>
  <c r="K17" i="3"/>
  <c r="K15" i="3"/>
  <c r="J98" i="3" l="1"/>
  <c r="N53" i="3"/>
  <c r="L98" i="3"/>
  <c r="K56" i="3"/>
  <c r="H133" i="2" l="1"/>
  <c r="H135" i="2" s="1"/>
  <c r="K90" i="3" l="1"/>
  <c r="K92" i="2" l="1"/>
  <c r="K114" i="2"/>
  <c r="K116" i="2"/>
  <c r="K117" i="2"/>
  <c r="K118" i="2"/>
  <c r="K119" i="2"/>
  <c r="K64" i="2"/>
  <c r="K86" i="2"/>
  <c r="K67" i="2"/>
  <c r="K55" i="2"/>
  <c r="K49" i="2"/>
  <c r="K58" i="2"/>
  <c r="K89" i="2"/>
  <c r="K90" i="2"/>
  <c r="K91" i="2"/>
  <c r="K70" i="2"/>
  <c r="K71" i="2"/>
  <c r="K74" i="2"/>
  <c r="K80" i="2"/>
  <c r="K61" i="2"/>
  <c r="K44" i="2"/>
  <c r="K66" i="3" l="1"/>
  <c r="K67" i="3"/>
  <c r="N86" i="3"/>
  <c r="K95" i="3"/>
  <c r="K96" i="3"/>
  <c r="N98" i="3"/>
  <c r="K59" i="3"/>
  <c r="K53" i="3" l="1"/>
  <c r="N67" i="3"/>
  <c r="K74" i="3"/>
  <c r="N96" i="3"/>
  <c r="K46" i="3"/>
  <c r="K80" i="3"/>
  <c r="K77" i="3"/>
  <c r="K83" i="3"/>
  <c r="K63" i="3"/>
  <c r="K93" i="3"/>
  <c r="K133" i="2"/>
  <c r="H26" i="1" l="1"/>
  <c r="I26" i="1"/>
  <c r="J26" i="1"/>
  <c r="K26" i="1"/>
  <c r="L15" i="1"/>
  <c r="L14" i="1"/>
  <c r="B25" i="2" l="1"/>
  <c r="K113" i="2"/>
  <c r="L16" i="1" l="1"/>
  <c r="K70" i="3" l="1"/>
  <c r="K89" i="3"/>
  <c r="K100" i="2" l="1"/>
  <c r="K102" i="2"/>
  <c r="K103" i="2"/>
  <c r="K121" i="2"/>
  <c r="K122" i="2"/>
  <c r="K126" i="2"/>
  <c r="K128" i="2"/>
  <c r="K129" i="2"/>
  <c r="K131" i="2"/>
  <c r="K132" i="2"/>
  <c r="K99" i="2"/>
  <c r="K83" i="2"/>
  <c r="L10" i="1" l="1"/>
  <c r="K41" i="3"/>
  <c r="K43" i="3" l="1"/>
  <c r="L11" i="1" l="1"/>
  <c r="L12" i="1"/>
  <c r="L17" i="1"/>
  <c r="L18" i="1"/>
  <c r="L19" i="1"/>
  <c r="L20" i="1"/>
  <c r="L21" i="1"/>
  <c r="L22" i="1"/>
  <c r="L23" i="1"/>
  <c r="L24" i="1"/>
  <c r="L9" i="1"/>
  <c r="K7" i="3"/>
  <c r="K8" i="3"/>
  <c r="K9" i="3"/>
  <c r="L26" i="1" l="1"/>
  <c r="G25" i="1"/>
  <c r="K52" i="3" l="1"/>
  <c r="K45" i="3"/>
  <c r="K55" i="3"/>
  <c r="K69" i="3" l="1"/>
  <c r="N56" i="3" l="1"/>
  <c r="K88" i="3" l="1"/>
  <c r="K79" i="3"/>
  <c r="K58" i="3"/>
  <c r="K76" i="3"/>
  <c r="K82" i="3"/>
  <c r="K62" i="3"/>
  <c r="K6" i="3"/>
  <c r="B27" i="2" l="1"/>
  <c r="J135" i="2" l="1"/>
  <c r="N93" i="3"/>
  <c r="N46" i="3"/>
  <c r="K7" i="2" l="1"/>
  <c r="K39" i="2" s="1"/>
  <c r="N80" i="3"/>
  <c r="N59" i="3"/>
  <c r="N83" i="3"/>
  <c r="N63" i="3"/>
  <c r="K135" i="2" l="1"/>
  <c r="N77" i="3"/>
  <c r="N74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<sst xmlns="http://schemas.openxmlformats.org/spreadsheetml/2006/main" count="565" uniqueCount="228">
  <si>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</si>
  <si>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</si>
  <si>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</si>
  <si>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</si>
  <si>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</si>
  <si>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</si>
  <si>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</si>
  <si>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</si>
  <si>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</si>
  <si>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</si>
  <si>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</si>
  <si>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</si>
  <si>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</si>
  <si>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</si>
  <si>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</si>
  <si>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</si>
  <si>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</si>
  <si>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</si>
  <si>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</si>
  <si>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</si>
  <si>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</si>
  <si>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</si>
  <si>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</si>
  <si>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</si>
  <si>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</si>
  <si>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</si>
  <si>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>Interest</t>
  </si>
  <si>
    <t>General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</si>
  <si>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</si>
  <si>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</si>
  <si>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</si>
  <si>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</si>
  <si>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</si>
  <si>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</si>
  <si>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</si>
  <si>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</si>
  <si>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</si>
  <si>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</si>
  <si>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</si>
  <si>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</si>
  <si>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</si>
  <si>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</si>
  <si>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</si>
  <si>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</si>
  <si>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</si>
  <si>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</si>
  <si>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</si>
  <si>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</si>
  <si>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</si>
  <si>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</si>
  <si>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</si>
  <si>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</si>
  <si>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</si>
  <si>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</si>
  <si>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</si>
  <si>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</si>
  <si>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</si>
  <si>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</si>
  <si>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</si>
  <si>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</si>
  <si>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</si>
  <si>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</si>
  <si>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</si>
  <si>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</si>
  <si>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</si>
  <si>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</si>
  <si>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</si>
  <si>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</si>
  <si>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</si>
  <si>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</si>
  <si>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</si>
  <si>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</si>
  <si>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</si>
  <si>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</si>
  <si>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</si>
  <si>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</si>
  <si>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</si>
  <si>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</si>
  <si>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</si>
  <si>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 </t>
  </si>
  <si>
    <t>MARKET VALUE</t>
  </si>
  <si>
    <t xml:space="preserve">DA Forf </t>
  </si>
  <si>
    <t xml:space="preserve">Errors &amp; Omissions 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</si>
  <si>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</si>
  <si>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</si>
  <si>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</si>
  <si>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</si>
  <si>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</si>
  <si>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</si>
  <si>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</si>
  <si>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</si>
  <si>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</si>
  <si>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</si>
  <si>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</si>
  <si>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</si>
  <si>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</si>
  <si>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</si>
  <si>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FFIN</t>
  </si>
  <si>
    <t xml:space="preserve">FFIN                         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</si>
  <si>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</si>
  <si>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</si>
  <si>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</si>
  <si>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</si>
  <si>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</si>
  <si>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</si>
  <si>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</si>
  <si>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</si>
  <si>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</si>
  <si>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</si>
  <si>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</si>
  <si>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</si>
  <si>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</si>
  <si>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</si>
  <si>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</si>
  <si>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</si>
  <si>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MMA Avg</t>
  </si>
  <si>
    <t>Ameriprise MMA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</si>
  <si>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</si>
  <si>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</si>
  <si>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</si>
  <si>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</si>
  <si>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</si>
  <si>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</si>
  <si>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</si>
  <si>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</si>
  <si>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</si>
  <si>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</si>
  <si>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</si>
  <si>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</si>
  <si>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</si>
  <si>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</si>
  <si>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</si>
  <si>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</si>
  <si>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</si>
  <si>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</si>
  <si>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</si>
  <si>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</si>
  <si>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</si>
  <si>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</si>
  <si>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</si>
  <si>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Wells Fargo Sioux Falls</t>
  </si>
  <si>
    <t>Texas Range SELECT</t>
  </si>
  <si>
    <t>Tex Range TERM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</si>
  <si>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</si>
  <si>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</si>
  <si>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</si>
  <si>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</si>
  <si>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</si>
  <si>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</si>
  <si>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</si>
  <si>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</si>
  <si>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</si>
  <si>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</si>
  <si>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</si>
  <si>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</si>
  <si>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</si>
  <si>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</si>
  <si>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</si>
  <si>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</si>
  <si>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</si>
  <si>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</si>
  <si>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</si>
  <si>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</si>
  <si>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</si>
  <si>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</si>
  <si>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</si>
  <si>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</si>
  <si>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</si>
  <si>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</si>
  <si>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</si>
  <si>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</si>
  <si>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Texas CLASS</t>
  </si>
  <si>
    <t>Tx Range Daily &amp; Select</t>
  </si>
  <si>
    <t xml:space="preserve">       2. C.D.'s</t>
  </si>
  <si>
    <t>GENERAL FUND</t>
  </si>
  <si>
    <t>Amerant BK Coral Gables</t>
  </si>
  <si>
    <t>Texas Range Select</t>
  </si>
  <si>
    <t>Par/Face Value</t>
  </si>
  <si>
    <t>Tot Int earned @ maturity of investment</t>
  </si>
  <si>
    <t>FFIN Oper Ck Fund</t>
  </si>
  <si>
    <t>Dept Deposit Tax Assr</t>
  </si>
  <si>
    <t>Tex Range Select</t>
  </si>
  <si>
    <t>Taylor County Security Holdings</t>
  </si>
  <si>
    <t>Texas FIT</t>
  </si>
  <si>
    <t xml:space="preserve">Restricted Funds </t>
  </si>
  <si>
    <t xml:space="preserve">Restricted Fees    </t>
  </si>
  <si>
    <t>FFCB</t>
  </si>
  <si>
    <t>3133ERG7</t>
  </si>
  <si>
    <t>Current Par/</t>
  </si>
  <si>
    <t xml:space="preserve"> # of Shares</t>
  </si>
  <si>
    <t xml:space="preserve">Restricted Fees </t>
  </si>
  <si>
    <t xml:space="preserve"> Comm Suprv &amp; Corrections Dept</t>
  </si>
  <si>
    <t>TEXAS FIT</t>
  </si>
  <si>
    <t>TOTALS</t>
  </si>
  <si>
    <t xml:space="preserve"> Interest To GF </t>
  </si>
  <si>
    <t>Juvenile Justice Restitution</t>
  </si>
  <si>
    <t xml:space="preserve">  VIT Escrow - Interest</t>
  </si>
  <si>
    <t xml:space="preserve">  Sheriffs Forfeiture</t>
  </si>
  <si>
    <t>3133ERQZ7</t>
  </si>
  <si>
    <t xml:space="preserve">Total General Fund Balance / Interest         </t>
  </si>
  <si>
    <t xml:space="preserve">FFIN GF Interest                            </t>
  </si>
  <si>
    <t>JPMorgan Chase</t>
  </si>
  <si>
    <t>46657VXM7</t>
  </si>
  <si>
    <t>FHLB</t>
  </si>
  <si>
    <t>3130B4GP0</t>
  </si>
  <si>
    <t>American Express Natl</t>
  </si>
  <si>
    <t>02589AGH9</t>
  </si>
  <si>
    <t>Tx Tech Univ</t>
  </si>
  <si>
    <t>882806FS6</t>
  </si>
  <si>
    <t>Goldman Sachs</t>
  </si>
  <si>
    <t>38150VR43</t>
  </si>
  <si>
    <t>JP Morgan Chase</t>
  </si>
  <si>
    <t>TxTech Univ</t>
  </si>
  <si>
    <r>
      <t>FY '25 3</t>
    </r>
    <r>
      <rPr>
        <sz val="10"/>
        <rFont val="Arial"/>
        <family val="2"/>
      </rPr>
      <t>rd</t>
    </r>
    <r>
      <rPr>
        <b/>
        <sz val="10"/>
        <rFont val="Arial"/>
        <family val="2"/>
      </rPr>
      <t xml:space="preserve"> Qtr</t>
    </r>
  </si>
  <si>
    <t>Fidelity Co-Operative</t>
  </si>
  <si>
    <t>Bank Plus</t>
  </si>
  <si>
    <t>3130B6CX2</t>
  </si>
  <si>
    <t>33646CRY2</t>
  </si>
  <si>
    <t>316077GH3</t>
  </si>
  <si>
    <t>06647MAX5</t>
  </si>
  <si>
    <r>
      <t xml:space="preserve">Texas CLASS </t>
    </r>
    <r>
      <rPr>
        <sz val="8"/>
        <rFont val="Arial"/>
        <family val="2"/>
      </rPr>
      <t xml:space="preserve"> (5/8/25)</t>
    </r>
  </si>
  <si>
    <t xml:space="preserve">Certificates of Obligation, </t>
  </si>
  <si>
    <t>Series 2025</t>
  </si>
  <si>
    <t>Prior Year (Jun-24) Market Value Net Change</t>
  </si>
  <si>
    <t>First Source Bk</t>
  </si>
  <si>
    <t>06647MSX5</t>
  </si>
  <si>
    <t>Certificates of Obligation</t>
  </si>
  <si>
    <t>Certificates of Obligation, Series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</si>
</sst>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  <numFmt numFmtId="173" formatCode="_(* #,##0.000_);_(* \(#,##0.000\);_(* \-??_);_(@_)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3" fillId="0" borderId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3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164" fontId="3" fillId="0" borderId="0" xfId="1" applyFont="1" applyFill="1" applyBorder="1" applyAlignment="1" applyProtection="1">
      <alignment horizontal="right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0" xfId="0" applyFont="1"/>
    <xf numFmtId="0" fontId="14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5" fillId="2" borderId="0" xfId="0" applyFont="1" applyFill="1"/>
    <xf numFmtId="164" fontId="15" fillId="2" borderId="0" xfId="1" applyFont="1" applyFill="1" applyBorder="1" applyAlignment="1" applyProtection="1"/>
    <xf numFmtId="164" fontId="15" fillId="3" borderId="0" xfId="1" applyFont="1" applyFill="1" applyBorder="1" applyAlignment="1" applyProtection="1"/>
    <xf numFmtId="16" fontId="15" fillId="2" borderId="0" xfId="1" applyNumberFormat="1" applyFont="1" applyFill="1" applyBorder="1" applyAlignment="1" applyProtection="1">
      <alignment horizontal="center"/>
    </xf>
    <xf numFmtId="164" fontId="13" fillId="0" borderId="2" xfId="1" applyBorder="1"/>
    <xf numFmtId="164" fontId="0" fillId="0" borderId="2" xfId="0" applyNumberFormat="1" applyBorder="1"/>
    <xf numFmtId="164" fontId="4" fillId="0" borderId="0" xfId="1" applyFont="1" applyAlignment="1">
      <alignment horizontal="left"/>
    </xf>
    <xf numFmtId="164" fontId="4" fillId="0" borderId="0" xfId="1" applyFont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5" fontId="2" fillId="5" borderId="4" xfId="3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164" fontId="13" fillId="0" borderId="0" xfId="1" applyFill="1" applyBorder="1" applyAlignment="1" applyProtection="1"/>
    <xf numFmtId="164" fontId="13" fillId="0" borderId="0" xfId="1" applyFill="1" applyBorder="1" applyAlignment="1" applyProtection="1">
      <alignment horizontal="right"/>
    </xf>
    <xf numFmtId="164" fontId="13" fillId="0" borderId="0" xfId="1" applyFill="1"/>
    <xf numFmtId="164" fontId="13" fillId="8" borderId="0" xfId="1" applyFill="1" applyBorder="1" applyAlignment="1" applyProtection="1"/>
    <xf numFmtId="164" fontId="13" fillId="8" borderId="0" xfId="1" applyFill="1" applyBorder="1" applyAlignment="1" applyProtection="1">
      <alignment horizontal="right"/>
    </xf>
    <xf numFmtId="164" fontId="13" fillId="0" borderId="3" xfId="1" applyFill="1" applyBorder="1" applyAlignment="1" applyProtection="1">
      <alignment horizontal="right"/>
    </xf>
    <xf numFmtId="164" fontId="13" fillId="0" borderId="0" xfId="1" applyFill="1" applyBorder="1" applyAlignment="1" applyProtection="1">
      <alignment horizontal="center"/>
    </xf>
    <xf numFmtId="164" fontId="13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0" fontId="3" fillId="8" borderId="0" xfId="0" applyFont="1" applyFill="1"/>
    <xf numFmtId="169" fontId="4" fillId="0" borderId="0" xfId="0" applyNumberFormat="1" applyFont="1" applyAlignment="1">
      <alignment horizontal="center"/>
    </xf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1" xfId="0" applyBorder="1"/>
    <xf numFmtId="164" fontId="0" fillId="0" borderId="6" xfId="1" applyFont="1" applyFill="1" applyBorder="1" applyAlignment="1" applyProtection="1">
      <alignment horizontal="center"/>
    </xf>
    <xf numFmtId="164" fontId="3" fillId="0" borderId="0" xfId="1" applyFont="1" applyFill="1"/>
    <xf numFmtId="0" fontId="17" fillId="0" borderId="0" xfId="0" applyFont="1"/>
    <xf numFmtId="164" fontId="18" fillId="0" borderId="0" xfId="1" applyFont="1" applyBorder="1" applyAlignment="1">
      <alignment horizontal="left"/>
    </xf>
    <xf numFmtId="0" fontId="18" fillId="8" borderId="0" xfId="0" applyFont="1" applyFill="1"/>
    <xf numFmtId="169" fontId="18" fillId="0" borderId="0" xfId="0" applyNumberFormat="1" applyFont="1" applyAlignment="1">
      <alignment horizontal="center"/>
    </xf>
    <xf numFmtId="0" fontId="18" fillId="0" borderId="0" xfId="0" applyFont="1"/>
    <xf numFmtId="164" fontId="18" fillId="0" borderId="0" xfId="1" applyFont="1" applyFill="1" applyBorder="1" applyAlignment="1" applyProtection="1"/>
    <xf numFmtId="164" fontId="18" fillId="0" borderId="0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/>
    <xf numFmtId="164" fontId="2" fillId="0" borderId="8" xfId="1" applyFont="1" applyFill="1" applyBorder="1" applyAlignment="1" applyProtection="1">
      <alignment horizontal="right"/>
    </xf>
    <xf numFmtId="164" fontId="2" fillId="0" borderId="8" xfId="1" applyFont="1" applyFill="1" applyBorder="1" applyAlignment="1" applyProtection="1">
      <alignment horizontal="center"/>
    </xf>
    <xf numFmtId="164" fontId="13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0" fontId="16" fillId="0" borderId="0" xfId="0" applyFont="1"/>
    <xf numFmtId="164" fontId="13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3" fillId="8" borderId="7" xfId="1" applyFill="1" applyBorder="1" applyAlignment="1" applyProtection="1">
      <alignment horizontal="center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3" fillId="10" borderId="0" xfId="1" applyFill="1" applyBorder="1" applyAlignment="1" applyProtection="1"/>
    <xf numFmtId="164" fontId="13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3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3" fillId="12" borderId="0" xfId="1" applyFill="1" applyBorder="1" applyAlignment="1" applyProtection="1">
      <alignment horizontal="right"/>
    </xf>
    <xf numFmtId="0" fontId="14" fillId="10" borderId="0" xfId="0" applyFont="1" applyFill="1" applyAlignment="1">
      <alignment horizontal="right"/>
    </xf>
    <xf numFmtId="164" fontId="13" fillId="10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3" fillId="13" borderId="0" xfId="1" applyFill="1" applyBorder="1" applyAlignment="1" applyProtection="1"/>
    <xf numFmtId="164" fontId="13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3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0" xfId="1" applyFont="1" applyFill="1" applyBorder="1" applyAlignment="1" applyProtection="1"/>
    <xf numFmtId="164" fontId="2" fillId="0" borderId="9" xfId="1" applyFont="1" applyFill="1" applyBorder="1" applyAlignment="1" applyProtection="1"/>
    <xf numFmtId="164" fontId="2" fillId="3" borderId="2" xfId="1" applyFont="1" applyFill="1" applyBorder="1" applyAlignment="1" applyProtection="1"/>
    <xf numFmtId="164" fontId="13" fillId="12" borderId="0" xfId="1" applyFill="1" applyBorder="1" applyAlignment="1" applyProtection="1">
      <alignment horizontal="center"/>
    </xf>
    <xf numFmtId="164" fontId="0" fillId="10" borderId="0" xfId="1" applyFont="1" applyFill="1" applyBorder="1" applyAlignment="1" applyProtection="1"/>
    <xf numFmtId="164" fontId="0" fillId="0" borderId="0" xfId="0" applyNumberFormat="1"/>
    <xf numFmtId="0" fontId="5" fillId="0" borderId="0" xfId="0" applyFont="1" applyAlignment="1">
      <alignment horizontal="center"/>
    </xf>
    <xf numFmtId="169" fontId="4" fillId="8" borderId="0" xfId="0" applyNumberFormat="1" applyFont="1" applyFill="1" applyAlignment="1">
      <alignment horizontal="center"/>
    </xf>
    <xf numFmtId="14" fontId="0" fillId="8" borderId="0" xfId="0" applyNumberFormat="1" applyFill="1"/>
    <xf numFmtId="164" fontId="0" fillId="8" borderId="0" xfId="1" applyFont="1" applyFill="1" applyBorder="1" applyAlignment="1" applyProtection="1"/>
    <xf numFmtId="14" fontId="0" fillId="8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164" fontId="0" fillId="8" borderId="0" xfId="1" applyFont="1" applyFill="1" applyBorder="1" applyAlignment="1" applyProtection="1">
      <alignment horizontal="right"/>
    </xf>
    <xf numFmtId="0" fontId="14" fillId="8" borderId="0" xfId="0" applyFont="1" applyFill="1" applyAlignment="1">
      <alignment horizontal="right"/>
    </xf>
    <xf numFmtId="164" fontId="13" fillId="8" borderId="0" xfId="1" applyFill="1"/>
    <xf numFmtId="164" fontId="14" fillId="14" borderId="13" xfId="1" applyFont="1" applyFill="1" applyBorder="1" applyAlignment="1" applyProtection="1">
      <alignment horizontal="center" wrapText="1"/>
    </xf>
    <xf numFmtId="0" fontId="2" fillId="15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4" xfId="3" applyNumberFormat="1" applyFont="1" applyFill="1" applyBorder="1" applyAlignment="1" applyProtection="1">
      <alignment horizontal="right"/>
    </xf>
    <xf numFmtId="0" fontId="2" fillId="15" borderId="17" xfId="0" applyFont="1" applyFill="1" applyBorder="1" applyAlignment="1">
      <alignment horizontal="center"/>
    </xf>
    <xf numFmtId="168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center"/>
    </xf>
    <xf numFmtId="164" fontId="19" fillId="14" borderId="14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center"/>
    </xf>
    <xf numFmtId="164" fontId="19" fillId="14" borderId="15" xfId="1" applyFont="1" applyFill="1" applyBorder="1" applyAlignment="1" applyProtection="1">
      <alignment horizontal="center"/>
    </xf>
    <xf numFmtId="164" fontId="19" fillId="14" borderId="0" xfId="1" applyFont="1" applyFill="1" applyBorder="1" applyAlignment="1" applyProtection="1">
      <alignment horizontal="right"/>
    </xf>
    <xf numFmtId="164" fontId="19" fillId="8" borderId="0" xfId="1" applyFont="1" applyFill="1" applyBorder="1" applyAlignment="1" applyProtection="1">
      <alignment horizontal="center"/>
    </xf>
    <xf numFmtId="164" fontId="20" fillId="8" borderId="0" xfId="1" applyFont="1" applyFill="1" applyBorder="1" applyAlignment="1" applyProtection="1">
      <alignment horizontal="center"/>
    </xf>
    <xf numFmtId="167" fontId="0" fillId="8" borderId="0" xfId="0" applyNumberFormat="1" applyFill="1" applyAlignment="1">
      <alignment horizontal="center"/>
    </xf>
    <xf numFmtId="164" fontId="0" fillId="8" borderId="0" xfId="1" applyFont="1" applyFill="1" applyBorder="1" applyAlignment="1" applyProtection="1">
      <alignment horizontal="center"/>
    </xf>
    <xf numFmtId="164" fontId="0" fillId="8" borderId="1" xfId="1" applyFont="1" applyFill="1" applyBorder="1" applyAlignment="1" applyProtection="1">
      <alignment horizontal="center"/>
    </xf>
    <xf numFmtId="0" fontId="0" fillId="8" borderId="1" xfId="0" applyFill="1" applyBorder="1"/>
    <xf numFmtId="164" fontId="0" fillId="8" borderId="6" xfId="1" applyFont="1" applyFill="1" applyBorder="1" applyAlignment="1" applyProtection="1">
      <alignment horizontal="center"/>
    </xf>
    <xf numFmtId="164" fontId="0" fillId="12" borderId="0" xfId="1" applyFont="1" applyFill="1" applyBorder="1" applyAlignment="1" applyProtection="1">
      <alignment horizontal="right"/>
    </xf>
    <xf numFmtId="164" fontId="0" fillId="0" borderId="0" xfId="1" applyFont="1" applyFill="1"/>
    <xf numFmtId="0" fontId="0" fillId="10" borderId="6" xfId="0" applyFill="1" applyBorder="1"/>
    <xf numFmtId="169" fontId="4" fillId="10" borderId="6" xfId="0" applyNumberFormat="1" applyFont="1" applyFill="1" applyBorder="1" applyAlignment="1">
      <alignment horizontal="center"/>
    </xf>
    <xf numFmtId="14" fontId="0" fillId="10" borderId="6" xfId="0" applyNumberFormat="1" applyFill="1" applyBorder="1" applyAlignment="1">
      <alignment horizontal="right"/>
    </xf>
    <xf numFmtId="164" fontId="13" fillId="10" borderId="6" xfId="1" applyFill="1" applyBorder="1" applyAlignment="1" applyProtection="1"/>
    <xf numFmtId="14" fontId="4" fillId="0" borderId="0" xfId="1" applyNumberFormat="1" applyFont="1" applyFill="1" applyAlignment="1">
      <alignment horizontal="right"/>
    </xf>
    <xf numFmtId="164" fontId="18" fillId="8" borderId="0" xfId="1" applyFont="1" applyFill="1" applyBorder="1" applyAlignment="1" applyProtection="1">
      <alignment horizontal="right"/>
    </xf>
    <xf numFmtId="164" fontId="3" fillId="8" borderId="0" xfId="1" applyFont="1" applyFill="1" applyBorder="1" applyAlignment="1" applyProtection="1">
      <alignment horizontal="right"/>
    </xf>
    <xf numFmtId="164" fontId="3" fillId="8" borderId="0" xfId="1" applyFont="1" applyFill="1"/>
    <xf numFmtId="164" fontId="13" fillId="10" borderId="6" xfId="1" applyFill="1" applyBorder="1" applyAlignment="1" applyProtection="1">
      <alignment horizontal="center"/>
    </xf>
    <xf numFmtId="164" fontId="17" fillId="0" borderId="0" xfId="1" applyFont="1" applyFill="1" applyBorder="1" applyAlignment="1" applyProtection="1">
      <alignment horizontal="center"/>
    </xf>
    <xf numFmtId="164" fontId="20" fillId="8" borderId="8" xfId="1" applyFont="1" applyFill="1" applyBorder="1" applyAlignment="1" applyProtection="1">
      <alignment horizontal="center"/>
    </xf>
    <xf numFmtId="164" fontId="19" fillId="14" borderId="14" xfId="1" applyFont="1" applyFill="1" applyBorder="1" applyAlignment="1" applyProtection="1">
      <alignment horizontal="right"/>
    </xf>
    <xf numFmtId="164" fontId="19" fillId="14" borderId="15" xfId="1" applyFont="1" applyFill="1" applyBorder="1" applyAlignment="1" applyProtection="1">
      <alignment horizontal="right"/>
    </xf>
    <xf numFmtId="164" fontId="19" fillId="14" borderId="18" xfId="1" applyFont="1" applyFill="1" applyBorder="1" applyAlignment="1" applyProtection="1">
      <alignment horizontal="center"/>
    </xf>
    <xf numFmtId="164" fontId="19" fillId="14" borderId="6" xfId="1" applyFont="1" applyFill="1" applyBorder="1" applyAlignment="1" applyProtection="1">
      <alignment horizontal="center"/>
    </xf>
    <xf numFmtId="164" fontId="19" fillId="14" borderId="16" xfId="1" applyFont="1" applyFill="1" applyBorder="1" applyAlignment="1" applyProtection="1">
      <alignment horizontal="center"/>
    </xf>
    <xf numFmtId="0" fontId="21" fillId="0" borderId="0" xfId="0" applyFont="1" applyAlignment="1">
      <alignment horizontal="right"/>
    </xf>
    <xf numFmtId="0" fontId="0" fillId="8" borderId="0" xfId="0" applyFill="1" applyAlignment="1">
      <alignment horizontal="center"/>
    </xf>
    <xf numFmtId="0" fontId="0" fillId="8" borderId="0" xfId="0" applyFill="1" applyAlignment="1">
      <alignment horizontal="right"/>
    </xf>
    <xf numFmtId="164" fontId="0" fillId="5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/>
    <xf numFmtId="39" fontId="0" fillId="2" borderId="0" xfId="3" applyNumberFormat="1" applyFont="1" applyFill="1" applyBorder="1" applyAlignment="1" applyProtection="1">
      <alignment horizontal="center"/>
    </xf>
    <xf numFmtId="166" fontId="2" fillId="8" borderId="0" xfId="1" applyNumberFormat="1" applyFont="1" applyFill="1" applyBorder="1" applyAlignment="1" applyProtection="1">
      <alignment horizontal="center"/>
    </xf>
    <xf numFmtId="0" fontId="2" fillId="8" borderId="0" xfId="0" applyFont="1" applyFill="1" applyAlignment="1">
      <alignment horizontal="right"/>
    </xf>
    <xf numFmtId="164" fontId="2" fillId="5" borderId="0" xfId="1" applyFont="1" applyFill="1" applyBorder="1" applyAlignment="1" applyProtection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7" xfId="0" applyFont="1" applyFill="1" applyBorder="1"/>
    <xf numFmtId="0" fontId="2" fillId="5" borderId="17" xfId="0" applyFont="1" applyFill="1" applyBorder="1" applyAlignment="1">
      <alignment horizontal="right"/>
    </xf>
    <xf numFmtId="164" fontId="2" fillId="5" borderId="17" xfId="1" applyFont="1" applyFill="1" applyBorder="1" applyAlignment="1" applyProtection="1">
      <alignment horizontal="center"/>
    </xf>
    <xf numFmtId="164" fontId="2" fillId="5" borderId="17" xfId="1" applyFont="1" applyFill="1" applyBorder="1" applyAlignment="1" applyProtection="1"/>
    <xf numFmtId="39" fontId="0" fillId="6" borderId="17" xfId="3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169" fontId="0" fillId="0" borderId="0" xfId="6" applyNumberFormat="1" applyFont="1" applyFill="1" applyBorder="1" applyAlignment="1"/>
    <xf numFmtId="39" fontId="0" fillId="9" borderId="0" xfId="3" applyNumberFormat="1" applyFont="1" applyFill="1" applyBorder="1" applyAlignment="1" applyProtection="1">
      <alignment horizontal="right"/>
    </xf>
    <xf numFmtId="0" fontId="0" fillId="15" borderId="0" xfId="0" applyFill="1"/>
    <xf numFmtId="164" fontId="23" fillId="14" borderId="0" xfId="1" applyFont="1" applyFill="1"/>
    <xf numFmtId="0" fontId="0" fillId="11" borderId="0" xfId="0" applyFill="1"/>
    <xf numFmtId="0" fontId="0" fillId="11" borderId="0" xfId="0" applyFill="1" applyAlignment="1">
      <alignment horizontal="center"/>
    </xf>
    <xf numFmtId="14" fontId="0" fillId="11" borderId="0" xfId="0" applyNumberFormat="1" applyFill="1" applyAlignment="1">
      <alignment horizontal="right"/>
    </xf>
    <xf numFmtId="164" fontId="0" fillId="11" borderId="0" xfId="1" applyFont="1" applyFill="1" applyBorder="1" applyAlignment="1" applyProtection="1"/>
    <xf numFmtId="169" fontId="0" fillId="11" borderId="0" xfId="6" applyNumberFormat="1" applyFont="1" applyFill="1" applyBorder="1" applyAlignment="1"/>
    <xf numFmtId="169" fontId="0" fillId="0" borderId="0" xfId="6" applyNumberFormat="1" applyFont="1" applyBorder="1" applyAlignment="1"/>
    <xf numFmtId="169" fontId="0" fillId="8" borderId="0" xfId="6" applyNumberFormat="1" applyFont="1" applyFill="1" applyBorder="1" applyAlignment="1"/>
    <xf numFmtId="164" fontId="0" fillId="11" borderId="0" xfId="1" applyFont="1" applyFill="1" applyBorder="1" applyAlignment="1" applyProtection="1">
      <alignment horizontal="right"/>
    </xf>
    <xf numFmtId="164" fontId="2" fillId="10" borderId="0" xfId="1" applyFont="1" applyFill="1" applyBorder="1" applyAlignment="1" applyProtection="1"/>
    <xf numFmtId="169" fontId="0" fillId="10" borderId="0" xfId="6" applyNumberFormat="1" applyFont="1" applyFill="1" applyBorder="1" applyAlignment="1"/>
    <xf numFmtId="164" fontId="2" fillId="5" borderId="0" xfId="1" applyFont="1" applyFill="1" applyBorder="1" applyAlignment="1" applyProtection="1"/>
    <xf numFmtId="169" fontId="0" fillId="0" borderId="0" xfId="0" applyNumberFormat="1"/>
    <xf numFmtId="169" fontId="0" fillId="10" borderId="0" xfId="0" applyNumberFormat="1" applyFill="1"/>
    <xf numFmtId="169" fontId="0" fillId="11" borderId="0" xfId="0" applyNumberFormat="1" applyFill="1"/>
    <xf numFmtId="164" fontId="2" fillId="10" borderId="0" xfId="1" applyFont="1" applyFill="1" applyBorder="1" applyAlignment="1" applyProtection="1">
      <alignment horizontal="center"/>
    </xf>
    <xf numFmtId="164" fontId="0" fillId="5" borderId="0" xfId="1" applyFont="1" applyFill="1" applyBorder="1" applyAlignment="1" applyProtection="1">
      <alignment horizontal="right"/>
    </xf>
    <xf numFmtId="169" fontId="0" fillId="0" borderId="4" xfId="0" applyNumberFormat="1" applyBorder="1"/>
    <xf numFmtId="164" fontId="23" fillId="14" borderId="4" xfId="1" applyFont="1" applyFill="1" applyBorder="1"/>
    <xf numFmtId="170" fontId="0" fillId="0" borderId="0" xfId="0" applyNumberFormat="1"/>
    <xf numFmtId="164" fontId="0" fillId="7" borderId="0" xfId="1" applyFont="1" applyFill="1" applyBorder="1" applyAlignment="1" applyProtection="1">
      <alignment horizontal="right"/>
    </xf>
    <xf numFmtId="164" fontId="3" fillId="0" borderId="0" xfId="0" applyNumberFormat="1" applyFont="1"/>
    <xf numFmtId="0" fontId="0" fillId="7" borderId="0" xfId="0" applyFill="1"/>
    <xf numFmtId="164" fontId="13" fillId="7" borderId="0" xfId="1" applyFill="1" applyBorder="1" applyAlignment="1" applyProtection="1">
      <alignment horizontal="right"/>
    </xf>
    <xf numFmtId="0" fontId="3" fillId="13" borderId="0" xfId="0" applyFont="1" applyFill="1" applyAlignment="1">
      <alignment horizontal="left"/>
    </xf>
    <xf numFmtId="164" fontId="4" fillId="13" borderId="0" xfId="1" applyFont="1" applyFill="1" applyBorder="1" applyAlignment="1" applyProtection="1">
      <alignment horizontal="right"/>
    </xf>
    <xf numFmtId="0" fontId="4" fillId="13" borderId="0" xfId="0" applyFont="1" applyFill="1" applyAlignment="1">
      <alignment horizontal="left"/>
    </xf>
    <xf numFmtId="0" fontId="16" fillId="13" borderId="0" xfId="0" applyFont="1" applyFill="1"/>
    <xf numFmtId="164" fontId="4" fillId="13" borderId="8" xfId="1" applyFont="1" applyFill="1" applyBorder="1" applyAlignment="1">
      <alignment horizontal="left"/>
    </xf>
    <xf numFmtId="14" fontId="2" fillId="0" borderId="8" xfId="0" applyNumberFormat="1" applyFont="1" applyBorder="1" applyAlignment="1">
      <alignment horizontal="right"/>
    </xf>
    <xf numFmtId="14" fontId="17" fillId="0" borderId="8" xfId="0" applyNumberFormat="1" applyFont="1" applyBorder="1" applyAlignment="1">
      <alignment horizontal="right"/>
    </xf>
    <xf numFmtId="164" fontId="17" fillId="0" borderId="8" xfId="1" applyFont="1" applyFill="1" applyBorder="1" applyAlignment="1" applyProtection="1"/>
    <xf numFmtId="164" fontId="17" fillId="8" borderId="8" xfId="1" applyFont="1" applyFill="1" applyBorder="1" applyAlignment="1" applyProtection="1">
      <alignment horizontal="center"/>
    </xf>
    <xf numFmtId="164" fontId="17" fillId="0" borderId="8" xfId="1" applyFont="1" applyFill="1" applyBorder="1" applyAlignment="1" applyProtection="1">
      <alignment horizontal="right"/>
    </xf>
    <xf numFmtId="0" fontId="3" fillId="9" borderId="0" xfId="0" applyFont="1" applyFill="1"/>
    <xf numFmtId="164" fontId="3" fillId="8" borderId="0" xfId="1" applyFont="1" applyFill="1" applyAlignment="1">
      <alignment horizontal="left"/>
    </xf>
    <xf numFmtId="164" fontId="3" fillId="8" borderId="0" xfId="1" applyFont="1" applyFill="1" applyBorder="1" applyAlignment="1">
      <alignment horizontal="left"/>
    </xf>
    <xf numFmtId="164" fontId="7" fillId="13" borderId="0" xfId="1" applyFont="1" applyFill="1" applyAlignment="1">
      <alignment horizontal="left"/>
    </xf>
    <xf numFmtId="164" fontId="3" fillId="13" borderId="0" xfId="1" applyFont="1" applyFill="1"/>
    <xf numFmtId="164" fontId="19" fillId="12" borderId="0" xfId="1" applyFont="1" applyFill="1" applyBorder="1" applyAlignment="1" applyProtection="1">
      <alignment horizontal="center"/>
    </xf>
    <xf numFmtId="164" fontId="19" fillId="12" borderId="0" xfId="1" applyFont="1" applyFill="1" applyBorder="1" applyAlignment="1" applyProtection="1">
      <alignment horizontal="right"/>
    </xf>
    <xf numFmtId="164" fontId="20" fillId="12" borderId="8" xfId="1" applyFont="1" applyFill="1" applyBorder="1" applyAlignment="1" applyProtection="1">
      <alignment horizontal="center"/>
    </xf>
    <xf numFmtId="169" fontId="4" fillId="7" borderId="0" xfId="0" applyNumberFormat="1" applyFont="1" applyFill="1" applyAlignment="1">
      <alignment horizontal="center"/>
    </xf>
    <xf numFmtId="14" fontId="0" fillId="7" borderId="0" xfId="0" applyNumberFormat="1" applyFill="1" applyAlignment="1">
      <alignment horizontal="right"/>
    </xf>
    <xf numFmtId="0" fontId="0" fillId="7" borderId="0" xfId="0" applyFill="1" applyAlignment="1">
      <alignment horizontal="left"/>
    </xf>
    <xf numFmtId="164" fontId="0" fillId="7" borderId="0" xfId="1" applyFont="1" applyFill="1" applyBorder="1" applyAlignment="1" applyProtection="1"/>
    <xf numFmtId="169" fontId="0" fillId="8" borderId="0" xfId="0" applyNumberFormat="1" applyFill="1" applyAlignment="1">
      <alignment horizontal="center"/>
    </xf>
    <xf numFmtId="0" fontId="0" fillId="19" borderId="0" xfId="0" applyFill="1"/>
    <xf numFmtId="0" fontId="2" fillId="19" borderId="0" xfId="0" applyFont="1" applyFill="1" applyAlignment="1">
      <alignment horizontal="center"/>
    </xf>
    <xf numFmtId="0" fontId="2" fillId="19" borderId="17" xfId="0" applyFont="1" applyFill="1" applyBorder="1" applyAlignment="1">
      <alignment horizont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165" fontId="2" fillId="19" borderId="0" xfId="3" applyFont="1" applyFill="1"/>
    <xf numFmtId="0" fontId="0" fillId="20" borderId="0" xfId="0" applyFill="1"/>
    <xf numFmtId="0" fontId="0" fillId="20" borderId="0" xfId="0" applyFill="1" applyAlignment="1">
      <alignment horizontal="center"/>
    </xf>
    <xf numFmtId="14" fontId="0" fillId="20" borderId="0" xfId="0" applyNumberFormat="1" applyFill="1" applyAlignment="1">
      <alignment horizontal="right"/>
    </xf>
    <xf numFmtId="164" fontId="0" fillId="20" borderId="0" xfId="1" applyFont="1" applyFill="1" applyBorder="1" applyAlignment="1" applyProtection="1">
      <alignment horizontal="right"/>
    </xf>
    <xf numFmtId="169" fontId="0" fillId="20" borderId="0" xfId="6" applyNumberFormat="1" applyFont="1" applyFill="1" applyBorder="1" applyAlignment="1"/>
    <xf numFmtId="164" fontId="0" fillId="20" borderId="0" xfId="1" applyFont="1" applyFill="1" applyBorder="1" applyAlignment="1" applyProtection="1"/>
    <xf numFmtId="0" fontId="0" fillId="7" borderId="0" xfId="0" applyFill="1" applyAlignment="1">
      <alignment horizontal="center"/>
    </xf>
    <xf numFmtId="164" fontId="19" fillId="14" borderId="19" xfId="1" applyFont="1" applyFill="1" applyBorder="1" applyAlignment="1" applyProtection="1">
      <alignment horizontal="right"/>
    </xf>
    <xf numFmtId="164" fontId="19" fillId="14" borderId="3" xfId="1" applyFont="1" applyFill="1" applyBorder="1" applyAlignment="1" applyProtection="1">
      <alignment horizontal="right"/>
    </xf>
    <xf numFmtId="164" fontId="19" fillId="14" borderId="20" xfId="1" applyFont="1" applyFill="1" applyBorder="1" applyAlignment="1" applyProtection="1">
      <alignment horizontal="right"/>
    </xf>
    <xf numFmtId="0" fontId="24" fillId="0" borderId="1" xfId="0" applyFont="1" applyBorder="1"/>
    <xf numFmtId="14" fontId="0" fillId="7" borderId="0" xfId="0" applyNumberFormat="1" applyFill="1"/>
    <xf numFmtId="164" fontId="0" fillId="10" borderId="6" xfId="1" applyFont="1" applyFill="1" applyBorder="1" applyAlignment="1" applyProtection="1"/>
    <xf numFmtId="169" fontId="0" fillId="7" borderId="0" xfId="6" applyNumberFormat="1" applyFont="1" applyFill="1" applyBorder="1" applyAlignment="1"/>
    <xf numFmtId="0" fontId="0" fillId="21" borderId="0" xfId="0" applyFill="1"/>
    <xf numFmtId="0" fontId="0" fillId="21" borderId="0" xfId="0" applyFill="1" applyAlignment="1">
      <alignment horizontal="center"/>
    </xf>
    <xf numFmtId="14" fontId="0" fillId="21" borderId="0" xfId="0" applyNumberFormat="1" applyFill="1" applyAlignment="1">
      <alignment horizontal="right"/>
    </xf>
    <xf numFmtId="164" fontId="0" fillId="21" borderId="0" xfId="1" applyFont="1" applyFill="1" applyBorder="1" applyAlignment="1" applyProtection="1">
      <alignment horizontal="right"/>
    </xf>
    <xf numFmtId="169" fontId="0" fillId="21" borderId="0" xfId="0" applyNumberFormat="1" applyFill="1"/>
    <xf numFmtId="164" fontId="0" fillId="21" borderId="0" xfId="1" applyFont="1" applyFill="1" applyBorder="1" applyAlignment="1" applyProtection="1"/>
    <xf numFmtId="164" fontId="4" fillId="13" borderId="0" xfId="1" applyFont="1" applyFill="1" applyBorder="1" applyAlignment="1">
      <alignment horizontal="left"/>
    </xf>
    <xf numFmtId="164" fontId="4" fillId="13" borderId="3" xfId="1" applyFont="1" applyFill="1" applyBorder="1" applyAlignment="1">
      <alignment horizontal="left"/>
    </xf>
    <xf numFmtId="169" fontId="0" fillId="10" borderId="0" xfId="0" applyNumberFormat="1" applyFill="1" applyAlignment="1">
      <alignment horizontal="center"/>
    </xf>
    <xf numFmtId="0" fontId="0" fillId="8" borderId="6" xfId="0" applyFill="1" applyBorder="1"/>
    <xf numFmtId="169" fontId="4" fillId="8" borderId="6" xfId="0" applyNumberFormat="1" applyFont="1" applyFill="1" applyBorder="1" applyAlignment="1">
      <alignment horizontal="center"/>
    </xf>
    <xf numFmtId="14" fontId="0" fillId="8" borderId="6" xfId="0" applyNumberFormat="1" applyFill="1" applyBorder="1" applyAlignment="1">
      <alignment horizontal="right"/>
    </xf>
    <xf numFmtId="164" fontId="13" fillId="8" borderId="6" xfId="1" applyFill="1" applyBorder="1" applyAlignment="1" applyProtection="1">
      <alignment horizontal="right"/>
    </xf>
    <xf numFmtId="164" fontId="13" fillId="8" borderId="16" xfId="1" applyFill="1" applyBorder="1" applyAlignment="1" applyProtection="1">
      <alignment horizontal="center"/>
    </xf>
    <xf numFmtId="164" fontId="13" fillId="0" borderId="6" xfId="1" applyFill="1" applyBorder="1" applyAlignment="1" applyProtection="1"/>
    <xf numFmtId="164" fontId="0" fillId="0" borderId="6" xfId="1" applyFont="1" applyFill="1" applyBorder="1" applyAlignment="1" applyProtection="1">
      <alignment horizontal="right"/>
    </xf>
    <xf numFmtId="164" fontId="13" fillId="0" borderId="16" xfId="1" applyFill="1" applyBorder="1" applyAlignment="1" applyProtection="1">
      <alignment horizontal="center"/>
    </xf>
    <xf numFmtId="169" fontId="4" fillId="0" borderId="6" xfId="0" applyNumberFormat="1" applyFont="1" applyBorder="1" applyAlignment="1">
      <alignment horizontal="center"/>
    </xf>
    <xf numFmtId="0" fontId="0" fillId="0" borderId="6" xfId="0" applyBorder="1"/>
    <xf numFmtId="14" fontId="0" fillId="0" borderId="6" xfId="0" applyNumberFormat="1" applyBorder="1" applyAlignment="1">
      <alignment horizontal="right"/>
    </xf>
    <xf numFmtId="164" fontId="13" fillId="0" borderId="6" xfId="1" applyFill="1" applyBorder="1" applyAlignment="1" applyProtection="1">
      <alignment horizontal="right"/>
    </xf>
    <xf numFmtId="164" fontId="13" fillId="8" borderId="6" xfId="1" applyFill="1" applyBorder="1" applyAlignment="1" applyProtection="1"/>
    <xf numFmtId="0" fontId="9" fillId="17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167" fontId="0" fillId="18" borderId="0" xfId="0" applyNumberFormat="1" applyFill="1" applyAlignment="1">
      <alignment horizontal="center"/>
    </xf>
    <xf numFmtId="0" fontId="10" fillId="0" borderId="0" xfId="0" applyFont="1" applyAlignment="1">
      <alignment horizontal="center"/>
    </xf>
    <xf numFmtId="164" fontId="14" fillId="14" borderId="7" xfId="1" applyFont="1" applyFill="1" applyBorder="1" applyAlignment="1" applyProtection="1">
      <alignment horizontal="center" wrapText="1"/>
    </xf>
    <xf numFmtId="164" fontId="14" fillId="14" borderId="0" xfId="1" applyFont="1" applyFill="1" applyBorder="1" applyAlignment="1" applyProtection="1">
      <alignment horizontal="center" wrapText="1"/>
    </xf>
    <xf numFmtId="164" fontId="14" fillId="14" borderId="6" xfId="1" applyFont="1" applyFill="1" applyBorder="1" applyAlignment="1" applyProtection="1">
      <alignment horizontal="center" wrapText="1"/>
    </xf>
    <xf numFmtId="164" fontId="14" fillId="14" borderId="15" xfId="1" applyFont="1" applyFill="1" applyBorder="1" applyAlignment="1" applyProtection="1">
      <alignment horizontal="center" wrapText="1"/>
    </xf>
    <xf numFmtId="164" fontId="14" fillId="14" borderId="16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164" fontId="22" fillId="14" borderId="12" xfId="1" applyFont="1" applyFill="1" applyBorder="1" applyAlignment="1" applyProtection="1">
      <alignment horizontal="center" wrapText="1"/>
    </xf>
    <xf numFmtId="164" fontId="22" fillId="14" borderId="14" xfId="1" applyFont="1" applyFill="1" applyBorder="1" applyAlignment="1" applyProtection="1">
      <alignment horizontal="center" wrapText="1"/>
    </xf>
    <xf numFmtId="164" fontId="22" fillId="14" borderId="18" xfId="1" applyFont="1" applyFill="1" applyBorder="1" applyAlignment="1" applyProtection="1">
      <alignment horizontal="center" wrapText="1"/>
    </xf>
    <xf numFmtId="0" fontId="0" fillId="7" borderId="6" xfId="0" applyFill="1" applyBorder="1"/>
    <xf numFmtId="169" fontId="4" fillId="7" borderId="6" xfId="0" applyNumberFormat="1" applyFon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/>
    <xf numFmtId="164" fontId="1" fillId="0" borderId="0" xfId="1" applyFont="1" applyFill="1" applyBorder="1" applyAlignment="1" applyProtection="1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right"/>
    </xf>
    <xf numFmtId="169" fontId="0" fillId="0" borderId="0" xfId="0" applyNumberFormat="1" applyFill="1"/>
    <xf numFmtId="173" fontId="0" fillId="11" borderId="0" xfId="1" applyNumberFormat="1" applyFont="1" applyFill="1" applyBorder="1" applyAlignment="1" applyProtection="1"/>
    <xf numFmtId="173" fontId="0" fillId="8" borderId="0" xfId="6" applyNumberFormat="1" applyFont="1" applyFill="1" applyBorder="1" applyAlignment="1"/>
    <xf numFmtId="173" fontId="0" fillId="8" borderId="0" xfId="1" applyNumberFormat="1" applyFont="1" applyFill="1" applyBorder="1" applyAlignment="1" applyProtection="1"/>
    <xf numFmtId="173" fontId="0" fillId="10" borderId="0" xfId="1" applyNumberFormat="1" applyFont="1" applyFill="1" applyBorder="1" applyAlignment="1" applyProtection="1"/>
    <xf numFmtId="170" fontId="2" fillId="16" borderId="0" xfId="3" applyNumberFormat="1" applyFont="1" applyFill="1" applyBorder="1" applyAlignment="1" applyProtection="1">
      <alignment horizontal="center" vertical="center" wrapText="1"/>
    </xf>
    <xf numFmtId="170" fontId="2" fillId="22" borderId="17" xfId="3" applyNumberFormat="1" applyFont="1" applyFill="1" applyBorder="1" applyAlignment="1" applyProtection="1">
      <alignment horizontal="center" vertical="center" wrapText="1"/>
    </xf>
    <xf numFmtId="17" fontId="2" fillId="0" borderId="0" xfId="3" applyNumberFormat="1" applyFont="1" applyFill="1" applyBorder="1" applyAlignment="1" applyProtection="1">
      <alignment horizontal="center"/>
    </xf>
    <xf numFmtId="164" fontId="0" fillId="10" borderId="2" xfId="1" applyFont="1" applyFill="1" applyBorder="1" applyAlignment="1" applyProtection="1">
      <alignment horizontal="right"/>
    </xf>
    <xf numFmtId="0" fontId="0" fillId="0" borderId="2" xfId="0" applyFill="1" applyBorder="1"/>
    <xf numFmtId="164" fontId="0" fillId="0" borderId="2" xfId="0" applyNumberFormat="1" applyFill="1" applyBorder="1"/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3.6966950057385921E-2"/>
                  <c:y val="-8.2640419947506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17-4645-9369-7B346C73F410}"/>
                </c:ext>
              </c:extLst>
            </c:dLbl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1.1925487625887327E-2"/>
                  <c:y val="-3.047139107611545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80291534.459999993</c:v>
                </c:pt>
                <c:pt idx="1">
                  <c:v>2688249.9</c:v>
                </c:pt>
                <c:pt idx="2">
                  <c:v>6035516.4000000004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036933103174531"/>
          <c:y val="0.42824378047886741"/>
          <c:w val="8.6184010117140983E-2"/>
          <c:h val="0.53169441777929427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0"/>
              <c:layout>
                <c:manualLayout>
                  <c:x val="3.7226624698818399E-2"/>
                  <c:y val="-0.1023545896221386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8E-4337-BF7A-32AC787EB208}"/>
                </c:ext>
              </c:extLst>
            </c:dLbl>
            <c:dLbl>
              <c:idx val="1"/>
              <c:layout>
                <c:manualLayout>
                  <c:x val="-1.961408411392522E-2"/>
                  <c:y val="5.877995908151713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8E-4337-BF7A-32AC787EB208}"/>
                </c:ext>
              </c:extLst>
            </c:dLbl>
            <c:dLbl>
              <c:idx val="2"/>
              <c:layout>
                <c:manualLayout>
                  <c:x val="-8.0678816493230023E-3"/>
                  <c:y val="-4.5642892317377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3796711509715"/>
                      <c:h val="0.13027104687349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2.8622206977491044E-2"/>
                  <c:y val="-3.09492986490808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89470443.129999995</c:v>
                </c:pt>
                <c:pt idx="1">
                  <c:v>1952551.97</c:v>
                </c:pt>
                <c:pt idx="2">
                  <c:v>5032931.58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80291534.459999993</c:v>
                </c:pt>
                <c:pt idx="1">
                  <c:v>2688249.9</c:v>
                </c:pt>
                <c:pt idx="2">
                  <c:v>6035516.4000000004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80291534.459999993</c:v>
                </c:pt>
                <c:pt idx="1">
                  <c:v>2688249.9</c:v>
                </c:pt>
                <c:pt idx="2">
                  <c:v>6035516.4000000004</c:v>
                </c:pt>
                <c:pt idx="3">
                  <c:v>12945842.470000001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801858287893386"/>
          <c:y val="0.43279331462877485"/>
          <c:w val="9.4189571595030441E-2"/>
          <c:h val="0.55431864120433216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22</xdr:row>
      <xdr:rowOff>38101</xdr:rowOff>
    </xdr:from>
    <xdr:to>
      <xdr:col>6</xdr:col>
      <xdr:colOff>257176</xdr:colOff>
      <xdr:row>35</xdr:row>
      <xdr:rowOff>85725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3990976"/>
          <a:ext cx="3676650" cy="2152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38100</xdr:rowOff>
    </xdr:from>
    <xdr:to>
      <xdr:col>1</xdr:col>
      <xdr:colOff>0</xdr:colOff>
      <xdr:row>31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139064</xdr:colOff>
      <xdr:row>28</xdr:row>
      <xdr:rowOff>139211</xdr:rowOff>
    </xdr:from>
    <xdr:to>
      <xdr:col>10</xdr:col>
      <xdr:colOff>276225</xdr:colOff>
      <xdr:row>43</xdr:row>
      <xdr:rowOff>153866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104776</xdr:colOff>
      <xdr:row>28</xdr:row>
      <xdr:rowOff>95250</xdr:rowOff>
    </xdr:from>
    <xdr:to>
      <xdr:col>4</xdr:col>
      <xdr:colOff>205155</xdr:colOff>
      <xdr:row>43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workbookViewId="0">
      <selection activeCell="E41" sqref="E41:E4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0"/>
    </row>
    <row r="14" spans="1:12" ht="35.25" x14ac:dyDescent="0.5">
      <c r="A14" s="306" t="s">
        <v>57</v>
      </c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</row>
    <row r="17" spans="1:12" ht="18" x14ac:dyDescent="0.25">
      <c r="A17" s="309" t="s">
        <v>58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</row>
    <row r="20" spans="1:12" x14ac:dyDescent="0.2">
      <c r="A20" s="307" t="s">
        <v>59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7"/>
      <c r="L20" s="307"/>
    </row>
    <row r="21" spans="1:12" x14ac:dyDescent="0.2">
      <c r="A21" s="308">
        <v>45838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</row>
    <row r="22" spans="1:12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spans="1:12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</row>
    <row r="24" spans="1:12" x14ac:dyDescent="0.2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1" t="s">
        <v>60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3:14" ht="15" x14ac:dyDescent="0.2">
      <c r="C2" s="31" t="s">
        <v>61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3:14" ht="15" x14ac:dyDescent="0.2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3:14" ht="15" x14ac:dyDescent="0.2">
      <c r="C4" s="31" t="s">
        <v>72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3:14" ht="15" x14ac:dyDescent="0.2">
      <c r="C5" s="31" t="s">
        <v>62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3:14" ht="15" x14ac:dyDescent="0.2">
      <c r="C6" s="31" t="s">
        <v>63</v>
      </c>
      <c r="D6" s="31"/>
      <c r="E6" s="31"/>
      <c r="F6" s="31"/>
      <c r="G6" s="31"/>
      <c r="H6" s="31" t="s">
        <v>64</v>
      </c>
      <c r="I6" s="31"/>
      <c r="J6" s="31"/>
      <c r="K6" s="31"/>
      <c r="L6" s="31"/>
      <c r="M6" s="31"/>
      <c r="N6" s="31"/>
    </row>
    <row r="7" spans="3:14" ht="15" x14ac:dyDescent="0.2"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3:14" ht="15" x14ac:dyDescent="0.2">
      <c r="C8" s="31" t="s">
        <v>65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3:14" ht="16.5" customHeight="1" x14ac:dyDescent="0.2">
      <c r="C9" s="31" t="s">
        <v>66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3:14" ht="15" x14ac:dyDescent="0.2"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3:14" ht="15" x14ac:dyDescent="0.2"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3:14" ht="15" x14ac:dyDescent="0.2"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3:14" ht="15" x14ac:dyDescent="0.2"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3:14" ht="15" x14ac:dyDescent="0.2"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3:14" ht="15" x14ac:dyDescent="0.2">
      <c r="C15" s="32"/>
      <c r="D15" s="32"/>
      <c r="E15" s="32"/>
      <c r="F15" s="32"/>
      <c r="G15" s="31"/>
      <c r="H15" s="31"/>
      <c r="I15" s="32"/>
      <c r="J15" s="32"/>
      <c r="K15" s="32"/>
      <c r="L15" s="32"/>
      <c r="M15" s="31"/>
      <c r="N15" s="31"/>
    </row>
    <row r="16" spans="3:14" ht="15" x14ac:dyDescent="0.2">
      <c r="C16" s="33" t="s">
        <v>117</v>
      </c>
      <c r="D16" s="31"/>
      <c r="E16" s="31"/>
      <c r="F16" s="31"/>
      <c r="G16" s="31"/>
      <c r="H16" s="31"/>
      <c r="I16" s="31" t="s">
        <v>112</v>
      </c>
      <c r="J16" s="31"/>
      <c r="K16" s="31"/>
      <c r="L16" s="31"/>
      <c r="M16" s="31"/>
      <c r="N16" s="31"/>
    </row>
    <row r="17" spans="3:14" ht="15" x14ac:dyDescent="0.2">
      <c r="C17" s="33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3:14" ht="15" x14ac:dyDescent="0.2">
      <c r="C18" s="33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3:14" ht="15" x14ac:dyDescent="0.2"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3:14" ht="15" x14ac:dyDescent="0.2">
      <c r="C20" s="32"/>
      <c r="D20" s="32"/>
      <c r="E20" s="32"/>
      <c r="F20" s="32"/>
      <c r="G20" s="31"/>
      <c r="H20" s="31"/>
      <c r="I20" s="280"/>
      <c r="J20" s="32"/>
      <c r="K20" s="32"/>
      <c r="L20" s="32"/>
      <c r="M20" s="31"/>
      <c r="N20" s="31"/>
    </row>
    <row r="21" spans="3:14" ht="15" x14ac:dyDescent="0.2">
      <c r="C21" s="31" t="s">
        <v>154</v>
      </c>
      <c r="D21" s="31"/>
      <c r="E21" s="31"/>
      <c r="F21" s="31"/>
      <c r="G21" s="31"/>
      <c r="H21" s="31"/>
      <c r="I21" s="31" t="s">
        <v>96</v>
      </c>
      <c r="J21" s="31"/>
      <c r="K21" s="31"/>
      <c r="L21" s="31"/>
      <c r="M21" s="31"/>
      <c r="N21" s="31"/>
    </row>
    <row r="22" spans="3:14" ht="15" x14ac:dyDescent="0.2"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3:14" ht="15" x14ac:dyDescent="0.2"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3:14" ht="15" x14ac:dyDescent="0.2"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3:14" ht="15" x14ac:dyDescent="0.2"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3:14" ht="15" x14ac:dyDescent="0.2">
      <c r="C26" s="32"/>
      <c r="D26" s="32"/>
      <c r="E26" s="32"/>
      <c r="F26" s="32"/>
      <c r="G26" s="31"/>
      <c r="H26" s="31"/>
      <c r="I26" s="32"/>
      <c r="J26" s="32"/>
      <c r="K26" s="32"/>
      <c r="L26" s="32"/>
      <c r="M26" s="31"/>
      <c r="N26" s="31"/>
    </row>
    <row r="27" spans="3:14" ht="15" x14ac:dyDescent="0.2">
      <c r="C27" s="31" t="s">
        <v>67</v>
      </c>
      <c r="D27" s="31"/>
      <c r="E27" s="31"/>
      <c r="F27" s="31"/>
      <c r="G27" s="31"/>
      <c r="H27" s="31"/>
      <c r="I27" s="31" t="s">
        <v>73</v>
      </c>
      <c r="J27" s="31"/>
      <c r="K27" s="31"/>
      <c r="L27" s="31"/>
      <c r="M27" s="31"/>
      <c r="N27" s="31"/>
    </row>
    <row r="28" spans="3:14" ht="15" x14ac:dyDescent="0.2"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3:14" ht="15" x14ac:dyDescent="0.2"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3:14" ht="15" x14ac:dyDescent="0.2">
      <c r="C30" s="31" t="s">
        <v>74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3:14" ht="15" x14ac:dyDescent="0.2">
      <c r="C31" s="31" t="s">
        <v>75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3:14" ht="15" x14ac:dyDescent="0.2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5"/>
  <sheetViews>
    <sheetView showGridLines="0" zoomScale="130" zoomScaleNormal="130" workbookViewId="0">
      <selection activeCell="I49" sqref="I48:I49"/>
    </sheetView>
  </sheetViews>
  <sheetFormatPr defaultRowHeight="12.75" x14ac:dyDescent="0.2"/>
  <cols>
    <col min="1" max="1" width="32.4257812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4" customFormat="1" ht="19.5" x14ac:dyDescent="0.3">
      <c r="B2" s="45"/>
      <c r="C2" s="45"/>
      <c r="D2" s="47" t="s">
        <v>80</v>
      </c>
      <c r="E2" s="45"/>
      <c r="F2" s="45"/>
      <c r="G2" s="46"/>
      <c r="H2" s="45"/>
      <c r="I2" s="45"/>
      <c r="J2" s="47" t="s">
        <v>80</v>
      </c>
      <c r="K2" s="45"/>
      <c r="L2" s="45"/>
    </row>
    <row r="3" spans="1:12" x14ac:dyDescent="0.2">
      <c r="B3" s="3"/>
      <c r="C3" s="3"/>
      <c r="D3" s="9">
        <v>45747</v>
      </c>
      <c r="E3" s="3"/>
      <c r="F3" s="3"/>
      <c r="G3" s="8"/>
      <c r="J3" s="9">
        <v>45838</v>
      </c>
    </row>
    <row r="4" spans="1:12" x14ac:dyDescent="0.2">
      <c r="B4" s="10" t="s">
        <v>97</v>
      </c>
      <c r="C4" s="3"/>
      <c r="D4" s="334"/>
      <c r="E4" s="3"/>
      <c r="F4" s="3"/>
      <c r="G4" s="8"/>
      <c r="H4" s="10" t="s">
        <v>97</v>
      </c>
      <c r="J4" s="334"/>
    </row>
    <row r="5" spans="1:12" x14ac:dyDescent="0.2">
      <c r="B5" s="10" t="s">
        <v>95</v>
      </c>
      <c r="C5" s="3"/>
      <c r="D5" s="10" t="s">
        <v>145</v>
      </c>
      <c r="E5" s="3"/>
      <c r="F5" s="3"/>
      <c r="G5" s="8"/>
      <c r="H5" s="10" t="s">
        <v>95</v>
      </c>
      <c r="J5" s="10" t="s">
        <v>145</v>
      </c>
    </row>
    <row r="6" spans="1:12" x14ac:dyDescent="0.2">
      <c r="B6" s="152" t="s">
        <v>172</v>
      </c>
      <c r="C6" s="10" t="s">
        <v>1</v>
      </c>
      <c r="D6" s="10" t="s">
        <v>143</v>
      </c>
      <c r="E6" s="10" t="s">
        <v>107</v>
      </c>
      <c r="F6" s="3"/>
      <c r="G6" s="8"/>
      <c r="H6" s="152" t="s">
        <v>172</v>
      </c>
      <c r="I6" s="10" t="s">
        <v>1</v>
      </c>
      <c r="J6" s="10" t="s">
        <v>143</v>
      </c>
      <c r="K6" s="10" t="s">
        <v>107</v>
      </c>
    </row>
    <row r="7" spans="1:12" x14ac:dyDescent="0.2">
      <c r="B7" s="176" t="s">
        <v>171</v>
      </c>
      <c r="C7" s="176" t="s">
        <v>2</v>
      </c>
      <c r="D7" s="56" t="s">
        <v>144</v>
      </c>
      <c r="E7" s="176" t="s">
        <v>3</v>
      </c>
      <c r="F7" s="176" t="s">
        <v>4</v>
      </c>
      <c r="G7" s="8"/>
      <c r="H7" s="10" t="s">
        <v>171</v>
      </c>
      <c r="I7" s="10" t="s">
        <v>2</v>
      </c>
      <c r="J7" t="s">
        <v>144</v>
      </c>
      <c r="K7" s="10" t="s">
        <v>3</v>
      </c>
      <c r="L7" s="10" t="s">
        <v>4</v>
      </c>
    </row>
    <row r="8" spans="1:12" s="12" customFormat="1" x14ac:dyDescent="0.2">
      <c r="A8"/>
      <c r="B8" s="179" t="s">
        <v>183</v>
      </c>
      <c r="C8" s="177" t="s">
        <v>0</v>
      </c>
      <c r="D8" s="178" t="s">
        <v>0</v>
      </c>
      <c r="E8" s="177" t="s">
        <v>0</v>
      </c>
      <c r="F8" s="177" t="s">
        <v>0</v>
      </c>
      <c r="G8" s="8"/>
      <c r="H8" s="80" t="s">
        <v>183</v>
      </c>
      <c r="I8" s="11" t="s">
        <v>0</v>
      </c>
      <c r="J8" s="12" t="s">
        <v>0</v>
      </c>
      <c r="K8" s="11" t="s">
        <v>0</v>
      </c>
      <c r="L8" s="11" t="s">
        <v>0</v>
      </c>
    </row>
    <row r="9" spans="1:12" s="13" customFormat="1" x14ac:dyDescent="0.2">
      <c r="A9" s="138" t="s">
        <v>5</v>
      </c>
      <c r="B9" s="139">
        <v>44604790.609999999</v>
      </c>
      <c r="C9" s="140">
        <v>1952551.97</v>
      </c>
      <c r="D9" s="141">
        <v>5032931.58</v>
      </c>
      <c r="E9" s="141">
        <v>10356673.970000001</v>
      </c>
      <c r="F9" s="141">
        <f t="shared" ref="F9:F24" si="0">SUM(B9:E9)</f>
        <v>61946948.129999995</v>
      </c>
      <c r="G9" s="15">
        <f>SUM(C9:F9)</f>
        <v>79289105.649999991</v>
      </c>
      <c r="H9" s="139">
        <f>SUM('Taylor County Security Holdings'!I7,'Taylor County Security Holdings'!I8,'Taylor County Security Holdings'!I9,'Taylor County Security Holdings'!I10,'Taylor County Security Holdings'!I11,'Taylor County Security Holdings'!I12,'Taylor County Security Holdings'!I13)</f>
        <v>27574859.329999998</v>
      </c>
      <c r="I9" s="140">
        <f>SUM('Taylor County Security Holdings'!I14,'Taylor County Security Holdings'!I16,'Taylor County Security Holdings'!I17,'Taylor County Security Holdings'!I18,'Taylor County Security Holdings'!I20:I21,'Taylor County Security Holdings'!I24,'Taylor County Security Holdings'!I26,'Taylor County Security Holdings'!I28:I30)</f>
        <v>2688249.9</v>
      </c>
      <c r="J9" s="141">
        <f>SUM('Taylor County Security Holdings'!I15,'Taylor County Security Holdings'!I22:I23,'Taylor County Security Holdings'!I25,'Taylor County Security Holdings'!I27)</f>
        <v>6035516.4000000004</v>
      </c>
      <c r="K9" s="141">
        <f>SUM('Taylor County Security Holdings'!I19)</f>
        <v>10356673.970000001</v>
      </c>
      <c r="L9" s="141">
        <f t="shared" ref="L9:L24" si="1">SUM(H9:K9)</f>
        <v>46655299.599999994</v>
      </c>
    </row>
    <row r="10" spans="1:12" s="13" customFormat="1" x14ac:dyDescent="0.2">
      <c r="A10" s="13" t="s">
        <v>111</v>
      </c>
      <c r="B10" s="43">
        <v>10235095.710000001</v>
      </c>
      <c r="C10" s="48"/>
      <c r="D10" s="14"/>
      <c r="E10" s="14"/>
      <c r="F10" s="14">
        <f t="shared" si="0"/>
        <v>10235095.710000001</v>
      </c>
      <c r="G10" s="15"/>
      <c r="H10" s="43">
        <f>SUM('Taylor County Security Holdings'!I44:I45)</f>
        <v>8398092.0700000003</v>
      </c>
      <c r="I10" s="48"/>
      <c r="J10" s="14"/>
      <c r="K10" s="14"/>
      <c r="L10" s="14">
        <f t="shared" si="1"/>
        <v>8398092.0700000003</v>
      </c>
    </row>
    <row r="11" spans="1:12" s="13" customFormat="1" x14ac:dyDescent="0.2">
      <c r="A11" s="138" t="s">
        <v>6</v>
      </c>
      <c r="B11" s="141">
        <v>6298.3</v>
      </c>
      <c r="C11" s="142"/>
      <c r="D11" s="141"/>
      <c r="E11" s="141"/>
      <c r="F11" s="141">
        <f t="shared" si="0"/>
        <v>6298.3</v>
      </c>
      <c r="G11" s="15">
        <f>SUM(C11:F11)</f>
        <v>6298.3</v>
      </c>
      <c r="H11" s="141">
        <f>SUM('Taylor County Security Holdings'!H55)</f>
        <v>6342.07</v>
      </c>
      <c r="I11" s="142"/>
      <c r="J11" s="141"/>
      <c r="K11" s="141"/>
      <c r="L11" s="141">
        <f t="shared" si="1"/>
        <v>6342.07</v>
      </c>
    </row>
    <row r="12" spans="1:12" s="13" customFormat="1" x14ac:dyDescent="0.2">
      <c r="A12" s="13" t="s">
        <v>71</v>
      </c>
      <c r="B12" s="14">
        <v>5332.45</v>
      </c>
      <c r="C12" s="49"/>
      <c r="D12" s="14"/>
      <c r="E12" s="14"/>
      <c r="F12" s="14">
        <f t="shared" si="0"/>
        <v>5332.45</v>
      </c>
      <c r="G12" s="15"/>
      <c r="H12" s="14">
        <f>SUM('Taylor County Security Holdings'!I49)</f>
        <v>5369.51</v>
      </c>
      <c r="I12" s="49"/>
      <c r="J12" s="14"/>
      <c r="K12" s="14"/>
      <c r="L12" s="14">
        <f t="shared" si="1"/>
        <v>5369.51</v>
      </c>
    </row>
    <row r="13" spans="1:12" s="13" customFormat="1" x14ac:dyDescent="0.2">
      <c r="A13" s="138" t="s">
        <v>227</v>
      </c>
      <c r="B13" s="141">
        <v>0</v>
      </c>
      <c r="C13" s="142"/>
      <c r="D13" s="141"/>
      <c r="E13" s="141"/>
      <c r="F13" s="141">
        <f t="shared" si="0"/>
        <v>0</v>
      </c>
      <c r="G13" s="15"/>
      <c r="H13" s="141">
        <f>SUM('Taylor County Security Holdings'!I52)</f>
        <v>11640964.699999999</v>
      </c>
      <c r="I13" s="142"/>
      <c r="J13" s="141"/>
      <c r="K13" s="141"/>
      <c r="L13" s="141">
        <f t="shared" si="1"/>
        <v>11640964.699999999</v>
      </c>
    </row>
    <row r="14" spans="1:12" s="13" customFormat="1" x14ac:dyDescent="0.2">
      <c r="A14" s="336" t="s">
        <v>102</v>
      </c>
      <c r="B14" s="14">
        <v>2872888.62</v>
      </c>
      <c r="C14" s="337" t="s">
        <v>0</v>
      </c>
      <c r="D14" s="14" t="s">
        <v>0</v>
      </c>
      <c r="E14" s="14"/>
      <c r="F14" s="14">
        <f t="shared" si="0"/>
        <v>2872888.62</v>
      </c>
      <c r="G14" s="15"/>
      <c r="H14" s="14">
        <f>SUM('Taylor County Security Holdings'!I58)</f>
        <v>2073032.18</v>
      </c>
      <c r="I14" s="337" t="s">
        <v>0</v>
      </c>
      <c r="J14" s="14" t="s">
        <v>0</v>
      </c>
      <c r="K14" s="14"/>
      <c r="L14" s="14">
        <f t="shared" si="1"/>
        <v>2073032.18</v>
      </c>
    </row>
    <row r="15" spans="1:12" s="13" customFormat="1" x14ac:dyDescent="0.2">
      <c r="A15" s="138" t="s">
        <v>7</v>
      </c>
      <c r="B15" s="141">
        <v>454665.42</v>
      </c>
      <c r="C15" s="138"/>
      <c r="D15" s="335"/>
      <c r="E15" s="141">
        <v>1553501.1</v>
      </c>
      <c r="F15" s="141">
        <f t="shared" si="0"/>
        <v>2008166.52</v>
      </c>
      <c r="G15" s="15">
        <f t="shared" ref="G15:G25" si="2">SUM(C15:F15)</f>
        <v>3561667.62</v>
      </c>
      <c r="H15" s="141">
        <f>SUM('Taylor County Security Holdings'!I89:I91)</f>
        <v>720045.53</v>
      </c>
      <c r="I15" s="138"/>
      <c r="J15" s="335"/>
      <c r="K15" s="141">
        <f>SUM('Taylor County Security Holdings'!I92)</f>
        <v>1553501.1</v>
      </c>
      <c r="L15" s="141">
        <f t="shared" si="1"/>
        <v>2273546.63</v>
      </c>
    </row>
    <row r="16" spans="1:12" s="13" customFormat="1" x14ac:dyDescent="0.2">
      <c r="A16" s="336" t="s">
        <v>8</v>
      </c>
      <c r="B16" s="14">
        <v>2795658.09</v>
      </c>
      <c r="C16" s="336"/>
      <c r="D16" s="14"/>
      <c r="E16" s="14">
        <v>1035667.4</v>
      </c>
      <c r="F16" s="14">
        <f t="shared" si="0"/>
        <v>3831325.4899999998</v>
      </c>
      <c r="G16" s="15">
        <f t="shared" si="2"/>
        <v>4866992.8899999997</v>
      </c>
      <c r="H16" s="14">
        <f>SUM('Taylor County Security Holdings'!I70:I71,'Taylor County Security Holdings'!I73)</f>
        <v>3008166.41</v>
      </c>
      <c r="I16" s="336"/>
      <c r="J16" s="14"/>
      <c r="K16" s="14">
        <f>SUM('Taylor County Security Holdings'!I72)</f>
        <v>1035667.4</v>
      </c>
      <c r="L16" s="14">
        <f t="shared" si="1"/>
        <v>4043833.81</v>
      </c>
    </row>
    <row r="17" spans="1:15" s="13" customFormat="1" x14ac:dyDescent="0.2">
      <c r="A17" s="138" t="s">
        <v>9</v>
      </c>
      <c r="B17" s="141">
        <v>1322872.5</v>
      </c>
      <c r="C17" s="138"/>
      <c r="D17" s="141"/>
      <c r="E17" s="141"/>
      <c r="F17" s="141">
        <f t="shared" si="0"/>
        <v>1322872.5</v>
      </c>
      <c r="G17" s="15">
        <f t="shared" si="2"/>
        <v>1322872.5</v>
      </c>
      <c r="H17" s="141">
        <f>SUM('Taylor County Security Holdings'!I80)</f>
        <v>2275140.2200000002</v>
      </c>
      <c r="I17" s="138"/>
      <c r="J17" s="141"/>
      <c r="K17" s="141"/>
      <c r="L17" s="141">
        <f t="shared" si="1"/>
        <v>2275140.2200000002</v>
      </c>
    </row>
    <row r="18" spans="1:15" s="13" customFormat="1" x14ac:dyDescent="0.2">
      <c r="A18" s="336" t="s">
        <v>10</v>
      </c>
      <c r="B18" s="14">
        <v>79339.360000000001</v>
      </c>
      <c r="C18" s="336"/>
      <c r="D18" s="16"/>
      <c r="E18" s="14"/>
      <c r="F18" s="14">
        <f t="shared" si="0"/>
        <v>79339.360000000001</v>
      </c>
      <c r="G18" s="15">
        <f t="shared" si="2"/>
        <v>79339.360000000001</v>
      </c>
      <c r="H18" s="14">
        <f>SUM('Taylor County Security Holdings'!I61)</f>
        <v>80502.880000000005</v>
      </c>
      <c r="I18" s="336"/>
      <c r="J18" s="16"/>
      <c r="K18" s="14"/>
      <c r="L18" s="14">
        <f t="shared" si="1"/>
        <v>80502.880000000005</v>
      </c>
    </row>
    <row r="19" spans="1:15" s="13" customFormat="1" x14ac:dyDescent="0.2">
      <c r="A19" s="138" t="s">
        <v>184</v>
      </c>
      <c r="B19" s="141">
        <v>1957174.77</v>
      </c>
      <c r="C19" s="138"/>
      <c r="D19" s="143"/>
      <c r="E19" s="141"/>
      <c r="F19" s="141">
        <f t="shared" si="0"/>
        <v>1957174.77</v>
      </c>
      <c r="G19" s="15">
        <f t="shared" si="2"/>
        <v>1957174.77</v>
      </c>
      <c r="H19" s="141">
        <f>SUM('Taylor County Security Holdings'!I77)</f>
        <v>1975506.93</v>
      </c>
      <c r="I19" s="138"/>
      <c r="J19" s="143"/>
      <c r="K19" s="141"/>
      <c r="L19" s="141">
        <f t="shared" si="1"/>
        <v>1975506.93</v>
      </c>
    </row>
    <row r="20" spans="1:15" s="13" customFormat="1" x14ac:dyDescent="0.2">
      <c r="A20" s="336" t="s">
        <v>11</v>
      </c>
      <c r="B20" s="14">
        <v>185721.72</v>
      </c>
      <c r="C20" s="336"/>
      <c r="D20" s="14"/>
      <c r="E20" s="14"/>
      <c r="F20" s="14">
        <f t="shared" si="0"/>
        <v>185721.72</v>
      </c>
      <c r="G20" s="15">
        <f t="shared" si="2"/>
        <v>185721.72</v>
      </c>
      <c r="H20" s="14">
        <f>SUM('Taylor County Security Holdings'!I83)</f>
        <v>118382</v>
      </c>
      <c r="I20" s="336"/>
      <c r="J20" s="14"/>
      <c r="K20" s="14"/>
      <c r="L20" s="14">
        <f t="shared" si="1"/>
        <v>118382</v>
      </c>
    </row>
    <row r="21" spans="1:15" s="13" customFormat="1" x14ac:dyDescent="0.2">
      <c r="A21" s="138" t="s">
        <v>12</v>
      </c>
      <c r="B21" s="141">
        <v>938280.48</v>
      </c>
      <c r="C21" s="138"/>
      <c r="D21" s="141"/>
      <c r="E21" s="141"/>
      <c r="F21" s="141">
        <f t="shared" si="0"/>
        <v>938280.48</v>
      </c>
      <c r="G21" s="15">
        <f t="shared" si="2"/>
        <v>938280.48</v>
      </c>
      <c r="H21" s="141">
        <f>SUM('Taylor County Security Holdings'!I64)</f>
        <v>806954.93</v>
      </c>
      <c r="I21" s="138"/>
      <c r="J21" s="141"/>
      <c r="K21" s="141"/>
      <c r="L21" s="141">
        <f t="shared" si="1"/>
        <v>806954.93</v>
      </c>
    </row>
    <row r="22" spans="1:15" s="13" customFormat="1" x14ac:dyDescent="0.2">
      <c r="A22" s="336" t="s">
        <v>82</v>
      </c>
      <c r="B22" s="14">
        <v>1113189.3</v>
      </c>
      <c r="C22" s="336"/>
      <c r="D22" s="14"/>
      <c r="E22" s="14"/>
      <c r="F22" s="14">
        <f t="shared" si="0"/>
        <v>1113189.3</v>
      </c>
      <c r="G22" s="15">
        <f t="shared" si="2"/>
        <v>1113189.3</v>
      </c>
      <c r="H22" s="14">
        <f>SUM('Taylor County Security Holdings'!I67)</f>
        <v>1121030.1200000001</v>
      </c>
      <c r="I22" s="336"/>
      <c r="J22" s="14"/>
      <c r="K22" s="14"/>
      <c r="L22" s="14">
        <f t="shared" si="1"/>
        <v>1121030.1200000001</v>
      </c>
    </row>
    <row r="23" spans="1:15" s="13" customFormat="1" x14ac:dyDescent="0.2">
      <c r="A23" s="138" t="s">
        <v>13</v>
      </c>
      <c r="B23" s="141">
        <v>2731483.89</v>
      </c>
      <c r="C23" s="138"/>
      <c r="D23" s="141"/>
      <c r="E23" s="141"/>
      <c r="F23" s="141">
        <f t="shared" si="0"/>
        <v>2731483.89</v>
      </c>
      <c r="G23" s="15">
        <f t="shared" si="2"/>
        <v>2731483.89</v>
      </c>
      <c r="H23" s="141">
        <f>SUM('Taylor County Security Holdings'!I86)</f>
        <v>2978993.35</v>
      </c>
      <c r="I23" s="138"/>
      <c r="J23" s="141"/>
      <c r="K23" s="141"/>
      <c r="L23" s="141">
        <f t="shared" si="1"/>
        <v>2978993.35</v>
      </c>
    </row>
    <row r="24" spans="1:15" s="13" customFormat="1" x14ac:dyDescent="0.2">
      <c r="A24" s="336" t="s">
        <v>14</v>
      </c>
      <c r="B24" s="14">
        <v>20167651.91</v>
      </c>
      <c r="C24" s="336"/>
      <c r="D24" s="14"/>
      <c r="E24" s="14"/>
      <c r="F24" s="14">
        <f t="shared" si="0"/>
        <v>20167651.91</v>
      </c>
      <c r="G24" s="15">
        <f t="shared" si="2"/>
        <v>20167651.91</v>
      </c>
      <c r="H24" s="14">
        <f>SUM('Taylor County Security Holdings'!I133)</f>
        <v>17508152.229999997</v>
      </c>
      <c r="I24" s="336"/>
      <c r="J24" s="14"/>
      <c r="K24" s="14"/>
      <c r="L24" s="14">
        <f t="shared" si="1"/>
        <v>17508152.229999997</v>
      </c>
    </row>
    <row r="25" spans="1:15" x14ac:dyDescent="0.2">
      <c r="B25" s="17"/>
      <c r="C25"/>
      <c r="D25" s="17"/>
      <c r="E25" s="3"/>
      <c r="F25"/>
      <c r="G25" s="15">
        <f t="shared" si="2"/>
        <v>0</v>
      </c>
      <c r="H25" s="17"/>
      <c r="I25"/>
      <c r="J25" s="17"/>
      <c r="L25"/>
    </row>
    <row r="26" spans="1:15" s="13" customFormat="1" x14ac:dyDescent="0.2">
      <c r="A26" s="20" t="s">
        <v>4</v>
      </c>
      <c r="B26" s="144">
        <f>SUM(B9:B25)</f>
        <v>89470443.129999995</v>
      </c>
      <c r="C26" s="145">
        <f>SUM(C9:C25)</f>
        <v>1952551.97</v>
      </c>
      <c r="D26" s="144">
        <f>SUM(D9:D25)</f>
        <v>5032931.58</v>
      </c>
      <c r="E26" s="146">
        <f>SUM(E9:E25)</f>
        <v>12945842.470000001</v>
      </c>
      <c r="F26" s="147">
        <f>SUM(F9:F25)</f>
        <v>109401769.14999999</v>
      </c>
      <c r="G26" s="148">
        <f t="shared" ref="G26" si="3">SUM(G9:G25)</f>
        <v>116219778.38999999</v>
      </c>
      <c r="H26" s="144">
        <f>SUM(H9:H25)</f>
        <v>80291534.459999993</v>
      </c>
      <c r="I26" s="145">
        <f>SUM(I9:I25)</f>
        <v>2688249.9</v>
      </c>
      <c r="J26" s="144">
        <f>SUM(J9:J25)</f>
        <v>6035516.4000000004</v>
      </c>
      <c r="K26" s="146">
        <f>SUM(K9:K25)</f>
        <v>12945842.470000001</v>
      </c>
      <c r="L26" s="147">
        <f>SUM(L9:L25)</f>
        <v>101961143.22999999</v>
      </c>
      <c r="M26" s="79"/>
    </row>
    <row r="27" spans="1:15" x14ac:dyDescent="0.2">
      <c r="B27" s="3"/>
      <c r="C27" s="3"/>
      <c r="D27" s="3"/>
      <c r="E27" s="3"/>
      <c r="F27" s="3"/>
      <c r="G27" s="8"/>
    </row>
    <row r="28" spans="1:15" x14ac:dyDescent="0.2">
      <c r="A28" t="s">
        <v>15</v>
      </c>
      <c r="B28" s="3"/>
      <c r="C28" s="3"/>
      <c r="D28" s="3"/>
      <c r="E28" s="3"/>
      <c r="F28" s="3" t="s">
        <v>0</v>
      </c>
      <c r="G28" s="8"/>
      <c r="H28" s="3">
        <f>SUM(H26-B26)</f>
        <v>-9178908.6700000018</v>
      </c>
      <c r="I28" s="3">
        <f>SUM(I26-C26)</f>
        <v>735697.92999999993</v>
      </c>
      <c r="J28" s="3">
        <f>SUM(J26-D26)</f>
        <v>1002584.8200000003</v>
      </c>
      <c r="K28" s="3">
        <f>SUM(K26-E26)</f>
        <v>0</v>
      </c>
      <c r="L28" s="3">
        <f>SUM(H28:K28)</f>
        <v>-7440625.9200000018</v>
      </c>
    </row>
    <row r="29" spans="1:15" x14ac:dyDescent="0.2">
      <c r="B29" s="3"/>
      <c r="C29" s="3"/>
      <c r="D29" s="3"/>
      <c r="E29" s="3"/>
      <c r="F29" s="3"/>
      <c r="G29" s="8"/>
    </row>
    <row r="30" spans="1:15" x14ac:dyDescent="0.2">
      <c r="B30" s="3"/>
      <c r="C30" s="3"/>
      <c r="D30" s="3"/>
      <c r="E30" s="3"/>
      <c r="F30" s="3"/>
      <c r="G30" s="8"/>
    </row>
    <row r="31" spans="1:15" x14ac:dyDescent="0.2">
      <c r="B31" s="3"/>
      <c r="C31" s="3"/>
      <c r="D31" s="3"/>
      <c r="E31" s="3"/>
      <c r="F31" s="3"/>
      <c r="G31" s="8"/>
    </row>
    <row r="32" spans="1:15" x14ac:dyDescent="0.2">
      <c r="B32" s="3"/>
      <c r="C32" s="17"/>
      <c r="D32" s="3"/>
      <c r="E32" s="3"/>
      <c r="F32" s="3"/>
      <c r="G32" s="8"/>
      <c r="L32"/>
      <c r="O32" s="151"/>
    </row>
    <row r="33" spans="2:12" x14ac:dyDescent="0.2">
      <c r="B33" s="3"/>
      <c r="C33" s="3"/>
      <c r="D33" s="3"/>
      <c r="E33" s="3"/>
      <c r="F33" s="3"/>
      <c r="G33" s="18"/>
    </row>
    <row r="34" spans="2:12" x14ac:dyDescent="0.2">
      <c r="B34" s="3"/>
      <c r="C34" s="3"/>
      <c r="D34" s="3"/>
      <c r="E34" s="3"/>
      <c r="F34" s="3"/>
      <c r="G34" s="18"/>
    </row>
    <row r="35" spans="2:12" x14ac:dyDescent="0.2">
      <c r="B35" s="3"/>
      <c r="C35" s="3"/>
      <c r="D35" s="3"/>
      <c r="E35" s="3"/>
      <c r="F35" s="3"/>
      <c r="G35" s="18"/>
    </row>
    <row r="36" spans="2:12" x14ac:dyDescent="0.2">
      <c r="B36" s="3"/>
      <c r="C36" s="3"/>
      <c r="D36" s="3"/>
      <c r="E36" s="3"/>
      <c r="F36" s="3"/>
      <c r="G36" s="18"/>
      <c r="K36" s="3" t="s">
        <v>79</v>
      </c>
    </row>
    <row r="37" spans="2:12" x14ac:dyDescent="0.2">
      <c r="B37" s="3"/>
      <c r="C37" s="3"/>
      <c r="D37" s="3"/>
      <c r="E37" s="3" t="s">
        <v>99</v>
      </c>
      <c r="F37" s="3"/>
      <c r="G37" s="18"/>
      <c r="K37" s="3" t="s">
        <v>99</v>
      </c>
    </row>
    <row r="38" spans="2:12" x14ac:dyDescent="0.2">
      <c r="B38" s="3"/>
      <c r="C38" s="3"/>
      <c r="D38" s="3"/>
      <c r="E38" s="3"/>
      <c r="F38" s="3"/>
      <c r="G38" s="18"/>
    </row>
    <row r="39" spans="2:12" x14ac:dyDescent="0.2">
      <c r="B39" s="3"/>
      <c r="C39" s="3"/>
      <c r="D39" s="3"/>
      <c r="E39" s="3" t="s">
        <v>173</v>
      </c>
      <c r="F39" s="3"/>
      <c r="G39" s="18"/>
      <c r="K39" s="3" t="s">
        <v>173</v>
      </c>
    </row>
    <row r="40" spans="2:12" x14ac:dyDescent="0.2">
      <c r="B40" s="3"/>
      <c r="C40" s="3"/>
      <c r="D40" s="3"/>
      <c r="E40" s="3"/>
      <c r="F40" s="3"/>
      <c r="G40" s="18"/>
    </row>
    <row r="41" spans="2:12" x14ac:dyDescent="0.2">
      <c r="B41" s="3"/>
      <c r="C41" s="3"/>
      <c r="D41" s="3"/>
      <c r="E41" s="3" t="s">
        <v>77</v>
      </c>
      <c r="F41" s="3"/>
      <c r="G41" s="18"/>
      <c r="K41" s="3" t="s">
        <v>77</v>
      </c>
    </row>
    <row r="42" spans="2:12" x14ac:dyDescent="0.2">
      <c r="B42" s="3"/>
      <c r="C42" s="3"/>
      <c r="D42" s="3"/>
      <c r="E42" s="3"/>
      <c r="F42" s="3"/>
      <c r="G42" s="18"/>
    </row>
    <row r="43" spans="2:12" x14ac:dyDescent="0.2">
      <c r="B43" s="3"/>
      <c r="C43" s="3"/>
      <c r="D43" s="3"/>
      <c r="E43" s="3" t="s">
        <v>78</v>
      </c>
      <c r="F43" s="3"/>
      <c r="G43" s="18"/>
      <c r="K43" s="3" t="s">
        <v>78</v>
      </c>
    </row>
    <row r="44" spans="2:12" x14ac:dyDescent="0.2">
      <c r="B44" s="3"/>
      <c r="C44" s="3"/>
      <c r="D44" s="3"/>
      <c r="E44" s="3"/>
      <c r="F44" s="3"/>
      <c r="G44" s="18"/>
      <c r="L44" s="3" t="s">
        <v>0</v>
      </c>
    </row>
    <row r="45" spans="2:12" x14ac:dyDescent="0.2">
      <c r="B45" s="3"/>
      <c r="C45" s="3"/>
      <c r="D45" s="3"/>
      <c r="E45" s="3"/>
      <c r="F45" s="3"/>
      <c r="L45"/>
    </row>
    <row r="46" spans="2:12" x14ac:dyDescent="0.2">
      <c r="B46" s="3"/>
      <c r="C46" s="3"/>
      <c r="D46" s="3"/>
      <c r="E46" s="3"/>
      <c r="F46" s="3"/>
      <c r="K46"/>
      <c r="L46"/>
    </row>
    <row r="47" spans="2:12" x14ac:dyDescent="0.2">
      <c r="B47" s="3"/>
      <c r="C47" s="3"/>
      <c r="D47" s="3"/>
      <c r="E47" s="3"/>
      <c r="F47" s="3"/>
      <c r="L47"/>
    </row>
    <row r="48" spans="2:12" x14ac:dyDescent="0.2">
      <c r="B48" s="3"/>
      <c r="C48" s="3"/>
      <c r="D48" s="3"/>
      <c r="E48" s="3"/>
      <c r="F48" s="3"/>
    </row>
    <row r="49" spans="2:6" x14ac:dyDescent="0.2">
      <c r="B49" s="3"/>
      <c r="C49" s="3"/>
      <c r="D49" s="3"/>
      <c r="E49" s="3"/>
      <c r="F49" s="3"/>
    </row>
    <row r="50" spans="2:6" x14ac:dyDescent="0.2">
      <c r="F50" s="3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</sheetData>
  <phoneticPr fontId="5" type="noConversion"/>
  <pageMargins left="0.5" right="0.25" top="1.25" bottom="0.5" header="0.5" footer="0.5"/>
  <pageSetup paperSize="5" scale="84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L146"/>
  <sheetViews>
    <sheetView showGridLines="0" showRuler="0" zoomScale="114" zoomScaleNormal="114" zoomScaleSheetLayoutView="100" zoomScalePageLayoutView="145" workbookViewId="0">
      <pane ySplit="6" topLeftCell="A7" activePane="bottomLeft" state="frozen"/>
      <selection pane="bottomLeft" sqref="A1:N1"/>
    </sheetView>
  </sheetViews>
  <sheetFormatPr defaultRowHeight="12.75" x14ac:dyDescent="0.2"/>
  <cols>
    <col min="1" max="1" width="19" customWidth="1"/>
    <col min="2" max="2" width="8.7109375" style="50" bestFit="1" customWidth="1"/>
    <col min="3" max="3" width="25.140625" style="56" customWidth="1"/>
    <col min="4" max="4" width="5.28515625" style="98" customWidth="1"/>
    <col min="5" max="5" width="11.140625" customWidth="1"/>
    <col min="6" max="6" width="10.140625" style="19" bestFit="1" customWidth="1"/>
    <col min="7" max="7" width="16" style="62" customWidth="1"/>
    <col min="8" max="8" width="15" style="65" bestFit="1" customWidth="1"/>
    <col min="9" max="9" width="15" style="64" bestFit="1" customWidth="1"/>
    <col min="10" max="10" width="14.140625" style="62" bestFit="1" customWidth="1"/>
    <col min="11" max="11" width="14.140625" style="67" bestFit="1" customWidth="1"/>
    <col min="12" max="12" width="14.28515625" style="67" customWidth="1"/>
    <col min="13" max="13" width="8" style="67" customWidth="1"/>
    <col min="14" max="14" width="13.85546875" style="67" customWidth="1"/>
    <col min="15" max="16" width="13.7109375" style="62" customWidth="1"/>
    <col min="17" max="17" width="13.28515625" style="62" customWidth="1"/>
    <col min="18" max="18" width="14" customWidth="1"/>
    <col min="19" max="19" width="8.85546875"/>
    <col min="20" max="20" width="11.28515625" bestFit="1" customWidth="1"/>
    <col min="21" max="21" width="8.85546875"/>
    <col min="22" max="22" width="12.85546875" bestFit="1" customWidth="1"/>
    <col min="23" max="23" width="11.28515625" bestFit="1" customWidth="1"/>
    <col min="24" max="24" width="8.85546875"/>
    <col min="25" max="25" width="11.28515625" bestFit="1" customWidth="1"/>
    <col min="26" max="116" width="8.85546875"/>
  </cols>
  <sheetData>
    <row r="1" spans="1:116" x14ac:dyDescent="0.2">
      <c r="A1" s="315" t="s">
        <v>182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16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16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16" s="20" customFormat="1" ht="11.25" customHeight="1" x14ac:dyDescent="0.2">
      <c r="B4" s="53"/>
      <c r="C4" s="54"/>
      <c r="D4" s="109"/>
      <c r="F4" s="21"/>
      <c r="G4" s="78"/>
      <c r="H4" s="104"/>
      <c r="I4" s="100"/>
      <c r="J4" s="78" t="s">
        <v>213</v>
      </c>
      <c r="K4" s="191"/>
      <c r="L4" s="316" t="s">
        <v>178</v>
      </c>
      <c r="M4" s="310"/>
      <c r="N4" s="161"/>
      <c r="O4" s="78" t="s">
        <v>100</v>
      </c>
      <c r="P4" s="78" t="s">
        <v>156</v>
      </c>
      <c r="Q4" s="78" t="s">
        <v>157</v>
      </c>
      <c r="R4" s="78" t="s">
        <v>158</v>
      </c>
    </row>
    <row r="5" spans="1:116" s="20" customFormat="1" ht="12" customHeight="1" x14ac:dyDescent="0.2">
      <c r="A5" s="20" t="s">
        <v>16</v>
      </c>
      <c r="B5" s="53"/>
      <c r="C5" s="54" t="s">
        <v>17</v>
      </c>
      <c r="D5" s="109" t="s">
        <v>93</v>
      </c>
      <c r="E5" s="20" t="s">
        <v>18</v>
      </c>
      <c r="F5" s="21" t="s">
        <v>19</v>
      </c>
      <c r="G5" s="99" t="s">
        <v>188</v>
      </c>
      <c r="H5" s="97" t="s">
        <v>20</v>
      </c>
      <c r="I5" s="97" t="s">
        <v>21</v>
      </c>
      <c r="J5" s="78" t="s">
        <v>22</v>
      </c>
      <c r="K5" s="99" t="s">
        <v>68</v>
      </c>
      <c r="L5" s="317"/>
      <c r="M5" s="311"/>
      <c r="N5" s="313" t="s">
        <v>177</v>
      </c>
      <c r="O5" s="78" t="s">
        <v>22</v>
      </c>
      <c r="P5" s="78" t="s">
        <v>22</v>
      </c>
      <c r="Q5" s="78" t="s">
        <v>22</v>
      </c>
      <c r="R5" s="78" t="s">
        <v>22</v>
      </c>
    </row>
    <row r="6" spans="1:116" s="22" customFormat="1" ht="11.25" customHeight="1" x14ac:dyDescent="0.2">
      <c r="B6" s="101"/>
      <c r="C6" s="55" t="s">
        <v>23</v>
      </c>
      <c r="D6" s="110" t="s">
        <v>94</v>
      </c>
      <c r="E6" s="22" t="s">
        <v>24</v>
      </c>
      <c r="F6" s="23" t="s">
        <v>25</v>
      </c>
      <c r="G6" s="103" t="s">
        <v>189</v>
      </c>
      <c r="H6" s="105"/>
      <c r="I6" s="106"/>
      <c r="J6" s="102" t="s">
        <v>26</v>
      </c>
      <c r="K6" s="103" t="s">
        <v>26</v>
      </c>
      <c r="L6" s="318"/>
      <c r="M6" s="312"/>
      <c r="N6" s="314"/>
      <c r="O6" s="102" t="s">
        <v>26</v>
      </c>
      <c r="P6" s="102" t="s">
        <v>26</v>
      </c>
      <c r="Q6" s="102" t="s">
        <v>26</v>
      </c>
      <c r="R6" s="102" t="s">
        <v>26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</row>
    <row r="7" spans="1:116" ht="14.25" customHeight="1" x14ac:dyDescent="0.2">
      <c r="A7" s="20" t="s">
        <v>174</v>
      </c>
      <c r="C7" s="113" t="s">
        <v>98</v>
      </c>
      <c r="D7" s="114">
        <v>3.7042999999999999</v>
      </c>
      <c r="E7" s="113"/>
      <c r="F7" s="115">
        <v>45838</v>
      </c>
      <c r="G7" s="116">
        <v>1447886.45</v>
      </c>
      <c r="H7" s="116">
        <f t="shared" ref="H7:I13" si="0">SUM(G7)</f>
        <v>1447886.45</v>
      </c>
      <c r="I7" s="116">
        <f t="shared" si="0"/>
        <v>1447886.45</v>
      </c>
      <c r="J7" s="116">
        <v>74324.31</v>
      </c>
      <c r="K7" s="117">
        <f>SUM(J7+O7+P7+Q7)</f>
        <v>275533.68999999994</v>
      </c>
      <c r="L7" s="169"/>
      <c r="M7" s="170"/>
      <c r="N7" s="171"/>
      <c r="O7" s="116">
        <v>62431.77</v>
      </c>
      <c r="P7" s="116">
        <v>138777.60999999999</v>
      </c>
      <c r="Q7" s="116"/>
      <c r="R7" s="116"/>
    </row>
    <row r="8" spans="1:116" ht="14.25" customHeight="1" x14ac:dyDescent="0.2">
      <c r="C8" s="56" t="s">
        <v>90</v>
      </c>
      <c r="D8" s="76">
        <v>4.2969999999999997</v>
      </c>
      <c r="F8" s="25">
        <v>45838</v>
      </c>
      <c r="G8" s="61">
        <v>800</v>
      </c>
      <c r="H8" s="61">
        <f t="shared" si="0"/>
        <v>800</v>
      </c>
      <c r="I8" s="61">
        <f t="shared" si="0"/>
        <v>800</v>
      </c>
      <c r="J8" s="61">
        <v>811.6</v>
      </c>
      <c r="K8" s="67">
        <f t="shared" ref="K8:K11" si="1">SUM(J8+O8+P8+Q8)</f>
        <v>14221.53</v>
      </c>
      <c r="L8" s="169"/>
      <c r="M8" s="170"/>
      <c r="N8" s="171"/>
      <c r="O8" s="61">
        <v>6372.56</v>
      </c>
      <c r="P8" s="61">
        <v>7037.37</v>
      </c>
      <c r="Q8" s="61"/>
      <c r="R8" s="64"/>
    </row>
    <row r="9" spans="1:116" ht="14.25" customHeight="1" x14ac:dyDescent="0.2">
      <c r="A9" s="241" t="s">
        <v>118</v>
      </c>
      <c r="B9" s="242">
        <v>1252.42</v>
      </c>
      <c r="C9" s="113" t="s">
        <v>91</v>
      </c>
      <c r="D9" s="114">
        <v>4.4279999999999999</v>
      </c>
      <c r="E9" s="113"/>
      <c r="F9" s="115">
        <v>45838</v>
      </c>
      <c r="G9" s="116">
        <v>13000000</v>
      </c>
      <c r="H9" s="116">
        <f t="shared" si="0"/>
        <v>13000000</v>
      </c>
      <c r="I9" s="116">
        <f t="shared" si="0"/>
        <v>13000000</v>
      </c>
      <c r="J9" s="150">
        <v>165736.12</v>
      </c>
      <c r="K9" s="117">
        <f t="shared" si="1"/>
        <v>398357.18</v>
      </c>
      <c r="L9" s="169"/>
      <c r="M9" s="170"/>
      <c r="N9" s="171"/>
      <c r="O9" s="61">
        <v>60989.65</v>
      </c>
      <c r="P9" s="61">
        <v>171631.41</v>
      </c>
      <c r="Q9" s="61"/>
      <c r="R9" s="64"/>
    </row>
    <row r="10" spans="1:116" ht="14.25" customHeight="1" x14ac:dyDescent="0.2">
      <c r="A10" s="241" t="s">
        <v>119</v>
      </c>
      <c r="B10" s="242">
        <v>3821.95</v>
      </c>
      <c r="C10" s="56" t="s">
        <v>113</v>
      </c>
      <c r="D10" s="76">
        <v>4.32</v>
      </c>
      <c r="E10" t="s">
        <v>0</v>
      </c>
      <c r="F10" s="25">
        <v>45838</v>
      </c>
      <c r="G10" s="61">
        <v>16182.09</v>
      </c>
      <c r="H10" s="61">
        <f t="shared" si="0"/>
        <v>16182.09</v>
      </c>
      <c r="I10" s="61">
        <f t="shared" si="0"/>
        <v>16182.09</v>
      </c>
      <c r="J10" s="3">
        <v>172.85</v>
      </c>
      <c r="K10" s="67">
        <f t="shared" si="1"/>
        <v>4279.3200000000006</v>
      </c>
      <c r="L10" s="169"/>
      <c r="M10" s="170"/>
      <c r="N10" s="171"/>
      <c r="O10" s="61">
        <v>3935.34</v>
      </c>
      <c r="P10" s="61">
        <v>171.13</v>
      </c>
      <c r="Q10" s="61"/>
      <c r="R10" s="64"/>
    </row>
    <row r="11" spans="1:116" ht="14.25" customHeight="1" x14ac:dyDescent="0.2">
      <c r="A11" s="241" t="s">
        <v>120</v>
      </c>
      <c r="B11" s="242">
        <v>0.36</v>
      </c>
      <c r="C11" s="113" t="s">
        <v>176</v>
      </c>
      <c r="D11" s="114">
        <v>4.45</v>
      </c>
      <c r="E11" s="113" t="s">
        <v>0</v>
      </c>
      <c r="F11" s="115">
        <v>45838</v>
      </c>
      <c r="G11" s="119">
        <v>24549.599999999999</v>
      </c>
      <c r="H11" s="116">
        <f t="shared" si="0"/>
        <v>24549.599999999999</v>
      </c>
      <c r="I11" s="116">
        <f t="shared" si="0"/>
        <v>24549.599999999999</v>
      </c>
      <c r="J11" s="127">
        <v>269.12</v>
      </c>
      <c r="K11" s="117">
        <f t="shared" si="1"/>
        <v>828.85</v>
      </c>
      <c r="L11" s="169"/>
      <c r="M11" s="170"/>
      <c r="N11" s="171"/>
      <c r="O11" s="62">
        <v>291.97000000000003</v>
      </c>
      <c r="P11" s="62">
        <v>267.76</v>
      </c>
      <c r="R11" s="65"/>
      <c r="W11" s="151" t="s">
        <v>0</v>
      </c>
    </row>
    <row r="12" spans="1:116" ht="14.25" customHeight="1" x14ac:dyDescent="0.2">
      <c r="A12" s="241" t="s">
        <v>122</v>
      </c>
      <c r="B12" s="242">
        <v>83.48</v>
      </c>
      <c r="C12" s="56" t="s">
        <v>115</v>
      </c>
      <c r="D12" s="76">
        <v>0</v>
      </c>
      <c r="E12" t="s">
        <v>0</v>
      </c>
      <c r="F12" s="25">
        <v>45838</v>
      </c>
      <c r="G12" s="61">
        <v>0</v>
      </c>
      <c r="H12" s="61">
        <f>SUM(G12)</f>
        <v>0</v>
      </c>
      <c r="I12" s="61">
        <f t="shared" si="0"/>
        <v>0</v>
      </c>
      <c r="J12" s="3">
        <v>0</v>
      </c>
      <c r="K12" s="67">
        <f t="shared" ref="K12:K13" si="2">SUM(J12+O12+P12+Q12)</f>
        <v>473.53</v>
      </c>
      <c r="L12" s="169"/>
      <c r="M12" s="170"/>
      <c r="N12" s="171"/>
      <c r="O12" s="61">
        <v>473.4</v>
      </c>
      <c r="P12" s="61">
        <v>0.13</v>
      </c>
      <c r="Q12" s="61"/>
      <c r="R12" s="64"/>
    </row>
    <row r="13" spans="1:116" ht="14.25" customHeight="1" x14ac:dyDescent="0.2">
      <c r="A13" s="241" t="s">
        <v>121</v>
      </c>
      <c r="B13" s="242">
        <v>85.3</v>
      </c>
      <c r="C13" s="182" t="s">
        <v>171</v>
      </c>
      <c r="D13" s="183">
        <v>4.4020999999999999</v>
      </c>
      <c r="E13" s="182" t="s">
        <v>0</v>
      </c>
      <c r="F13" s="184">
        <v>45838</v>
      </c>
      <c r="G13" s="185">
        <v>13085441.189999999</v>
      </c>
      <c r="H13" s="185">
        <f>SUM(G13)</f>
        <v>13085441.189999999</v>
      </c>
      <c r="I13" s="185">
        <f t="shared" si="0"/>
        <v>13085441.189999999</v>
      </c>
      <c r="J13" s="282">
        <v>164636.32999999999</v>
      </c>
      <c r="K13" s="190">
        <f t="shared" si="2"/>
        <v>406850.99</v>
      </c>
      <c r="L13" s="169"/>
      <c r="M13" s="170"/>
      <c r="N13" s="171"/>
      <c r="O13" s="61">
        <v>78704.240000000005</v>
      </c>
      <c r="P13" s="61">
        <v>163510.42000000001</v>
      </c>
      <c r="Q13" s="61"/>
      <c r="R13" s="64"/>
    </row>
    <row r="14" spans="1:116" ht="14.25" customHeight="1" x14ac:dyDescent="0.2">
      <c r="A14" s="241" t="s">
        <v>123</v>
      </c>
      <c r="B14" s="242">
        <v>2.02</v>
      </c>
      <c r="C14" s="56" t="s">
        <v>150</v>
      </c>
      <c r="D14" s="153">
        <v>5.05</v>
      </c>
      <c r="E14" s="56" t="s">
        <v>151</v>
      </c>
      <c r="F14" s="156">
        <v>45852</v>
      </c>
      <c r="G14" s="160">
        <v>243000</v>
      </c>
      <c r="H14" s="160">
        <v>243000</v>
      </c>
      <c r="I14" s="160">
        <v>243024.3</v>
      </c>
      <c r="J14" s="160">
        <v>3029.39</v>
      </c>
      <c r="K14" s="68">
        <f t="shared" ref="K14:K30" si="3">SUM(J14+O14+P14+Q14)</f>
        <v>9088.17</v>
      </c>
      <c r="L14" s="169"/>
      <c r="M14" s="170"/>
      <c r="N14" s="171"/>
      <c r="O14" s="62">
        <v>3062.68</v>
      </c>
      <c r="P14" s="61">
        <v>2996.1</v>
      </c>
      <c r="Q14" s="61"/>
      <c r="R14" s="64"/>
    </row>
    <row r="15" spans="1:116" ht="14.25" customHeight="1" x14ac:dyDescent="0.2">
      <c r="A15" s="241" t="s">
        <v>124</v>
      </c>
      <c r="B15" s="242">
        <v>157.75</v>
      </c>
      <c r="C15" s="113" t="s">
        <v>114</v>
      </c>
      <c r="D15" s="114">
        <v>4.8570000000000002</v>
      </c>
      <c r="E15" s="120" t="s">
        <v>146</v>
      </c>
      <c r="F15" s="118">
        <v>45884</v>
      </c>
      <c r="G15" s="119">
        <v>998000</v>
      </c>
      <c r="H15" s="116">
        <v>965150.75</v>
      </c>
      <c r="I15" s="150">
        <v>996303.4</v>
      </c>
      <c r="J15" s="127">
        <v>11880.96</v>
      </c>
      <c r="K15" s="117">
        <f t="shared" si="3"/>
        <v>35642.879999999997</v>
      </c>
      <c r="L15" s="169"/>
      <c r="M15" s="170"/>
      <c r="N15" s="171"/>
      <c r="O15" s="62">
        <v>12011.52</v>
      </c>
      <c r="P15" s="62">
        <v>11750.4</v>
      </c>
      <c r="R15" s="158"/>
    </row>
    <row r="16" spans="1:116" ht="14.25" customHeight="1" x14ac:dyDescent="0.2">
      <c r="A16" s="241" t="s">
        <v>180</v>
      </c>
      <c r="B16" s="242">
        <v>3697.16</v>
      </c>
      <c r="C16" s="56" t="s">
        <v>165</v>
      </c>
      <c r="D16" s="153">
        <v>4.8499999999999996</v>
      </c>
      <c r="E16" s="157" t="s">
        <v>164</v>
      </c>
      <c r="F16" s="154">
        <v>45890</v>
      </c>
      <c r="G16" s="65">
        <v>244000</v>
      </c>
      <c r="H16" s="64">
        <v>244000</v>
      </c>
      <c r="I16" s="155">
        <v>244117.12</v>
      </c>
      <c r="J16" s="158">
        <v>2950.39</v>
      </c>
      <c r="K16" s="68">
        <f t="shared" si="3"/>
        <v>8851.18</v>
      </c>
      <c r="L16" s="169"/>
      <c r="M16" s="170"/>
      <c r="N16" s="171"/>
      <c r="O16" s="181">
        <v>2982.82</v>
      </c>
      <c r="P16" s="62">
        <v>2917.97</v>
      </c>
      <c r="R16" s="65"/>
    </row>
    <row r="17" spans="1:25" ht="14.25" customHeight="1" x14ac:dyDescent="0.2">
      <c r="A17" s="241" t="s">
        <v>179</v>
      </c>
      <c r="B17" s="242">
        <v>5308.04</v>
      </c>
      <c r="C17" s="113" t="s">
        <v>175</v>
      </c>
      <c r="D17" s="114">
        <v>5.05</v>
      </c>
      <c r="E17" s="120" t="s">
        <v>147</v>
      </c>
      <c r="F17" s="118">
        <v>45894</v>
      </c>
      <c r="G17" s="119">
        <v>243000</v>
      </c>
      <c r="H17" s="116">
        <v>243000</v>
      </c>
      <c r="I17" s="150">
        <v>243235.71</v>
      </c>
      <c r="J17" s="127">
        <v>3059.42</v>
      </c>
      <c r="K17" s="117">
        <f t="shared" si="3"/>
        <v>9178.26</v>
      </c>
      <c r="L17" s="169"/>
      <c r="M17" s="170"/>
      <c r="N17" s="171"/>
      <c r="O17" s="62">
        <v>3093.04</v>
      </c>
      <c r="P17" s="62">
        <v>3025.8</v>
      </c>
      <c r="R17" s="65"/>
    </row>
    <row r="18" spans="1:25" ht="14.25" customHeight="1" x14ac:dyDescent="0.2">
      <c r="A18" s="243" t="s">
        <v>84</v>
      </c>
      <c r="B18" s="136">
        <v>176.52</v>
      </c>
      <c r="C18" s="56" t="s">
        <v>148</v>
      </c>
      <c r="D18" s="153">
        <v>5</v>
      </c>
      <c r="E18" s="263" t="s">
        <v>149</v>
      </c>
      <c r="F18" s="154">
        <v>45894</v>
      </c>
      <c r="G18" s="65">
        <v>243000</v>
      </c>
      <c r="H18" s="64">
        <v>243000</v>
      </c>
      <c r="I18" s="155">
        <v>243182.25</v>
      </c>
      <c r="J18" s="158">
        <v>3029.39</v>
      </c>
      <c r="K18" s="68">
        <f t="shared" si="3"/>
        <v>9088.17</v>
      </c>
      <c r="L18" s="169"/>
      <c r="M18" s="170"/>
      <c r="N18" s="171"/>
      <c r="O18" s="62">
        <v>3062.68</v>
      </c>
      <c r="P18" s="62">
        <v>2996.1</v>
      </c>
      <c r="R18" s="65"/>
    </row>
    <row r="19" spans="1:25" ht="14.25" customHeight="1" x14ac:dyDescent="0.2">
      <c r="A19" s="243" t="s">
        <v>83</v>
      </c>
      <c r="B19" s="242">
        <v>119.86</v>
      </c>
      <c r="C19" s="113" t="s">
        <v>139</v>
      </c>
      <c r="D19" s="114">
        <v>4.3899999999999997</v>
      </c>
      <c r="E19" s="113" t="s">
        <v>0</v>
      </c>
      <c r="F19" s="115">
        <v>45916</v>
      </c>
      <c r="G19" s="116">
        <v>10356673.970000001</v>
      </c>
      <c r="H19" s="116">
        <v>10356673.970000001</v>
      </c>
      <c r="I19" s="116">
        <v>10356673.970000001</v>
      </c>
      <c r="J19" s="150">
        <v>113353.09</v>
      </c>
      <c r="K19" s="117">
        <f t="shared" si="3"/>
        <v>235425.65</v>
      </c>
      <c r="L19" s="169"/>
      <c r="M19" s="170"/>
      <c r="N19" s="171"/>
      <c r="O19" s="62">
        <v>9965.11</v>
      </c>
      <c r="P19" s="62">
        <v>112107.45</v>
      </c>
      <c r="R19" s="65"/>
    </row>
    <row r="20" spans="1:25" ht="14.25" customHeight="1" x14ac:dyDescent="0.2">
      <c r="A20" s="243" t="s">
        <v>85</v>
      </c>
      <c r="B20" s="136">
        <v>4865.74</v>
      </c>
      <c r="C20" s="56" t="s">
        <v>166</v>
      </c>
      <c r="D20" s="153">
        <v>4.6500000000000004</v>
      </c>
      <c r="E20" s="157" t="s">
        <v>167</v>
      </c>
      <c r="F20" s="154">
        <v>46073</v>
      </c>
      <c r="G20" s="65">
        <v>244000</v>
      </c>
      <c r="H20" s="64">
        <v>244000</v>
      </c>
      <c r="I20" s="155">
        <v>244690.52</v>
      </c>
      <c r="J20" s="158">
        <v>2828.73</v>
      </c>
      <c r="K20" s="68">
        <f t="shared" si="3"/>
        <v>8486.18</v>
      </c>
      <c r="L20" s="169"/>
      <c r="M20" s="170"/>
      <c r="N20" s="171"/>
      <c r="O20" s="62">
        <v>2859.81</v>
      </c>
      <c r="P20" s="62">
        <v>2797.64</v>
      </c>
      <c r="R20" s="65"/>
    </row>
    <row r="21" spans="1:25" ht="14.25" customHeight="1" x14ac:dyDescent="0.2">
      <c r="A21" s="243" t="s">
        <v>185</v>
      </c>
      <c r="B21" s="242">
        <v>13363.17</v>
      </c>
      <c r="C21" s="113" t="s">
        <v>201</v>
      </c>
      <c r="D21" s="114">
        <v>4.55</v>
      </c>
      <c r="E21" s="120" t="s">
        <v>202</v>
      </c>
      <c r="F21" s="118">
        <v>46248</v>
      </c>
      <c r="G21" s="119">
        <v>244000</v>
      </c>
      <c r="H21" s="116">
        <v>244000</v>
      </c>
      <c r="I21" s="150">
        <v>244000</v>
      </c>
      <c r="J21" s="127">
        <v>2767.9</v>
      </c>
      <c r="K21" s="117">
        <f t="shared" si="3"/>
        <v>4136.6400000000003</v>
      </c>
      <c r="L21" s="169"/>
      <c r="M21" s="170"/>
      <c r="N21" s="171"/>
      <c r="O21" s="69">
        <v>0</v>
      </c>
      <c r="P21" s="62">
        <v>1368.74</v>
      </c>
      <c r="R21" s="65"/>
    </row>
    <row r="22" spans="1:25" ht="14.25" customHeight="1" x14ac:dyDescent="0.2">
      <c r="A22" s="243" t="s">
        <v>86</v>
      </c>
      <c r="B22" s="242">
        <f>1182.57+9.85</f>
        <v>1192.4199999999998</v>
      </c>
      <c r="C22" s="56" t="s">
        <v>186</v>
      </c>
      <c r="D22" s="76">
        <v>4.5</v>
      </c>
      <c r="E22" t="s">
        <v>198</v>
      </c>
      <c r="F22" s="25">
        <v>46261</v>
      </c>
      <c r="G22" s="62">
        <v>2000000</v>
      </c>
      <c r="H22" s="65">
        <v>2000000</v>
      </c>
      <c r="I22" s="64">
        <v>2000000</v>
      </c>
      <c r="J22" s="62">
        <v>22438.36</v>
      </c>
      <c r="K22" s="68">
        <f t="shared" si="3"/>
        <v>67315.100000000006</v>
      </c>
      <c r="L22" s="169"/>
      <c r="M22" s="170"/>
      <c r="N22" s="171"/>
      <c r="O22" s="62">
        <v>22684.959999999999</v>
      </c>
      <c r="P22" s="181">
        <v>22191.78</v>
      </c>
      <c r="Q22" s="63"/>
      <c r="R22" s="160"/>
    </row>
    <row r="23" spans="1:25" ht="14.25" customHeight="1" x14ac:dyDescent="0.2">
      <c r="A23" s="243" t="s">
        <v>87</v>
      </c>
      <c r="B23" s="242">
        <v>134.52000000000001</v>
      </c>
      <c r="C23" s="113" t="s">
        <v>203</v>
      </c>
      <c r="D23" s="114">
        <v>4.38</v>
      </c>
      <c r="E23" s="113" t="s">
        <v>204</v>
      </c>
      <c r="F23" s="115">
        <v>46395</v>
      </c>
      <c r="G23" s="119">
        <v>1000000</v>
      </c>
      <c r="H23" s="119">
        <v>1000000</v>
      </c>
      <c r="I23" s="116">
        <v>1000000</v>
      </c>
      <c r="J23" s="119">
        <v>10907.53</v>
      </c>
      <c r="K23" s="117">
        <f t="shared" si="3"/>
        <v>20736.300000000003</v>
      </c>
      <c r="L23" s="169"/>
      <c r="M23" s="170"/>
      <c r="N23" s="171"/>
      <c r="O23" s="62">
        <v>0</v>
      </c>
      <c r="P23" s="62">
        <v>9828.77</v>
      </c>
      <c r="R23" s="65"/>
    </row>
    <row r="24" spans="1:25" ht="14.25" customHeight="1" x14ac:dyDescent="0.2">
      <c r="A24" s="243" t="s">
        <v>108</v>
      </c>
      <c r="B24" s="242">
        <v>192.85</v>
      </c>
      <c r="C24" s="56" t="s">
        <v>205</v>
      </c>
      <c r="D24" s="76">
        <v>4.2</v>
      </c>
      <c r="E24" t="s">
        <v>206</v>
      </c>
      <c r="F24" s="25">
        <v>46430</v>
      </c>
      <c r="G24" s="62">
        <v>244000</v>
      </c>
      <c r="H24" s="65">
        <v>244000</v>
      </c>
      <c r="I24" s="64">
        <v>244000</v>
      </c>
      <c r="J24" s="62">
        <v>2554.98</v>
      </c>
      <c r="K24" s="68">
        <f t="shared" si="3"/>
        <v>3874.59</v>
      </c>
      <c r="L24" s="169"/>
      <c r="M24" s="170"/>
      <c r="N24" s="171"/>
      <c r="O24" s="62">
        <v>0</v>
      </c>
      <c r="P24" s="62">
        <v>1319.61</v>
      </c>
      <c r="R24" s="65"/>
    </row>
    <row r="25" spans="1:25" ht="14.25" customHeight="1" x14ac:dyDescent="0.2">
      <c r="A25" s="244" t="s">
        <v>88</v>
      </c>
      <c r="B25" s="245">
        <f>SUM(B9:B24)</f>
        <v>34453.55999999999</v>
      </c>
      <c r="C25" s="113" t="s">
        <v>207</v>
      </c>
      <c r="D25" s="114">
        <v>3.36</v>
      </c>
      <c r="E25" s="113" t="s">
        <v>208</v>
      </c>
      <c r="F25" s="115">
        <v>46433</v>
      </c>
      <c r="G25" s="119">
        <v>1050000</v>
      </c>
      <c r="H25" s="119">
        <v>1039213</v>
      </c>
      <c r="I25" s="116">
        <v>1039213</v>
      </c>
      <c r="J25" s="119">
        <v>10485.24</v>
      </c>
      <c r="K25" s="117">
        <f t="shared" si="3"/>
        <v>12789.689999999999</v>
      </c>
      <c r="L25" s="169"/>
      <c r="M25" s="170"/>
      <c r="N25" s="171"/>
      <c r="O25" s="62">
        <v>0</v>
      </c>
      <c r="P25" s="62">
        <v>2304.4499999999998</v>
      </c>
      <c r="R25" s="65"/>
    </row>
    <row r="26" spans="1:25" ht="14.25" customHeight="1" x14ac:dyDescent="0.2">
      <c r="A26" s="244" t="s">
        <v>200</v>
      </c>
      <c r="B26" s="245">
        <v>39870.75</v>
      </c>
      <c r="C26" s="56" t="s">
        <v>209</v>
      </c>
      <c r="D26" s="76">
        <v>4.3</v>
      </c>
      <c r="E26" t="s">
        <v>210</v>
      </c>
      <c r="F26" s="25">
        <v>46457</v>
      </c>
      <c r="G26" s="62">
        <v>244000</v>
      </c>
      <c r="H26" s="65">
        <v>244000</v>
      </c>
      <c r="I26" s="64">
        <v>244000</v>
      </c>
      <c r="J26" s="62">
        <v>2615.81</v>
      </c>
      <c r="K26" s="68">
        <f t="shared" si="3"/>
        <v>3190.71</v>
      </c>
      <c r="L26" s="169"/>
      <c r="M26" s="170"/>
      <c r="N26" s="171"/>
      <c r="O26" s="62">
        <v>0</v>
      </c>
      <c r="P26" s="62">
        <v>574.9</v>
      </c>
      <c r="R26" s="65"/>
    </row>
    <row r="27" spans="1:25" ht="14.25" customHeight="1" thickBot="1" x14ac:dyDescent="0.25">
      <c r="A27" s="244" t="s">
        <v>89</v>
      </c>
      <c r="B27" s="291">
        <f>SUM(B25:B26)</f>
        <v>74324.31</v>
      </c>
      <c r="C27" s="113" t="s">
        <v>203</v>
      </c>
      <c r="D27" s="114">
        <v>4.55</v>
      </c>
      <c r="E27" s="292" t="s">
        <v>216</v>
      </c>
      <c r="F27" s="115">
        <v>46514</v>
      </c>
      <c r="G27" s="119">
        <v>1000000</v>
      </c>
      <c r="H27" s="119">
        <v>1000000</v>
      </c>
      <c r="I27" s="116">
        <v>1000000</v>
      </c>
      <c r="J27" s="119">
        <v>6357.53</v>
      </c>
      <c r="K27" s="117">
        <f t="shared" si="3"/>
        <v>6357.53</v>
      </c>
      <c r="L27" s="169"/>
      <c r="M27" s="170"/>
      <c r="N27" s="171"/>
      <c r="O27" s="62">
        <v>0</v>
      </c>
      <c r="R27" s="65"/>
    </row>
    <row r="28" spans="1:25" ht="14.25" customHeight="1" x14ac:dyDescent="0.2">
      <c r="A28" s="244"/>
      <c r="B28" s="290"/>
      <c r="C28" s="56" t="s">
        <v>224</v>
      </c>
      <c r="D28" s="76">
        <v>4.3499999999999996</v>
      </c>
      <c r="E28" t="s">
        <v>217</v>
      </c>
      <c r="F28" s="25">
        <v>46562</v>
      </c>
      <c r="G28" s="62">
        <v>244000</v>
      </c>
      <c r="H28" s="65">
        <v>244000</v>
      </c>
      <c r="I28" s="64">
        <v>244000</v>
      </c>
      <c r="J28" s="62">
        <v>174.48</v>
      </c>
      <c r="K28" s="68">
        <f t="shared" si="3"/>
        <v>174.48</v>
      </c>
      <c r="L28" s="169"/>
      <c r="M28" s="170"/>
      <c r="N28" s="171"/>
      <c r="O28" s="62">
        <v>0</v>
      </c>
      <c r="R28" s="65"/>
    </row>
    <row r="29" spans="1:25" ht="14.25" customHeight="1" x14ac:dyDescent="0.2">
      <c r="A29" s="244"/>
      <c r="B29" s="290"/>
      <c r="C29" s="113" t="s">
        <v>214</v>
      </c>
      <c r="D29" s="114">
        <v>4.3</v>
      </c>
      <c r="E29" s="113" t="s">
        <v>218</v>
      </c>
      <c r="F29" s="115">
        <v>46566</v>
      </c>
      <c r="G29" s="119">
        <v>245000</v>
      </c>
      <c r="H29" s="119">
        <v>245000</v>
      </c>
      <c r="I29" s="116">
        <v>245000</v>
      </c>
      <c r="J29" s="119">
        <v>86.59</v>
      </c>
      <c r="K29" s="117">
        <f t="shared" si="3"/>
        <v>86.59</v>
      </c>
      <c r="L29" s="169"/>
      <c r="M29" s="170"/>
      <c r="N29" s="171"/>
      <c r="O29" s="62">
        <v>0</v>
      </c>
      <c r="R29" s="65"/>
    </row>
    <row r="30" spans="1:25" ht="14.25" customHeight="1" x14ac:dyDescent="0.2">
      <c r="A30" s="244"/>
      <c r="B30" s="290"/>
      <c r="C30" s="293" t="s">
        <v>215</v>
      </c>
      <c r="D30" s="301">
        <v>4.3499999999999996</v>
      </c>
      <c r="E30" s="302" t="s">
        <v>219</v>
      </c>
      <c r="F30" s="303">
        <v>46568</v>
      </c>
      <c r="G30" s="304">
        <v>249000</v>
      </c>
      <c r="H30" s="296">
        <v>249000</v>
      </c>
      <c r="I30" s="305">
        <v>249000</v>
      </c>
      <c r="J30" s="304">
        <v>0</v>
      </c>
      <c r="K30" s="297">
        <f t="shared" si="3"/>
        <v>0</v>
      </c>
      <c r="L30" s="169"/>
      <c r="M30" s="170"/>
      <c r="N30" s="171"/>
      <c r="O30" s="62">
        <v>0</v>
      </c>
      <c r="P30" s="62">
        <v>0</v>
      </c>
      <c r="R30" s="65"/>
    </row>
    <row r="31" spans="1:25" ht="14.25" customHeight="1" x14ac:dyDescent="0.2">
      <c r="C31" s="239" t="s">
        <v>139</v>
      </c>
      <c r="D31" s="259">
        <v>5.47</v>
      </c>
      <c r="E31" s="239" t="s">
        <v>0</v>
      </c>
      <c r="F31" s="260">
        <v>45646</v>
      </c>
      <c r="G31" s="95">
        <v>0</v>
      </c>
      <c r="H31" s="95">
        <v>0</v>
      </c>
      <c r="I31" s="95">
        <v>0</v>
      </c>
      <c r="J31" s="95">
        <v>0</v>
      </c>
      <c r="K31" s="92">
        <f>SUM(J31+O31+P32+Q32)</f>
        <v>121389.04</v>
      </c>
      <c r="L31" s="169">
        <v>356673.97</v>
      </c>
      <c r="M31" s="170"/>
      <c r="N31" s="171">
        <v>10000000</v>
      </c>
      <c r="O31" s="62">
        <v>121389.04</v>
      </c>
      <c r="P31" s="62">
        <v>0</v>
      </c>
      <c r="Q31" s="62">
        <v>0</v>
      </c>
      <c r="R31" s="65">
        <v>0</v>
      </c>
      <c r="W31" s="151"/>
    </row>
    <row r="32" spans="1:25" ht="14.25" customHeight="1" x14ac:dyDescent="0.2">
      <c r="A32" s="56"/>
      <c r="B32" s="60"/>
      <c r="C32" s="239" t="s">
        <v>114</v>
      </c>
      <c r="D32" s="259">
        <v>1.5</v>
      </c>
      <c r="E32" s="261" t="s">
        <v>155</v>
      </c>
      <c r="F32" s="260">
        <v>45626</v>
      </c>
      <c r="G32" s="240">
        <v>0</v>
      </c>
      <c r="H32" s="240">
        <v>0</v>
      </c>
      <c r="I32" s="262">
        <v>0</v>
      </c>
      <c r="J32" s="237">
        <v>0</v>
      </c>
      <c r="K32" s="92">
        <f>SUM(J32+O32+P33+Q33)</f>
        <v>9699.7000000000007</v>
      </c>
      <c r="L32" s="169">
        <v>47351.32</v>
      </c>
      <c r="M32" s="170"/>
      <c r="N32" s="171">
        <v>951000</v>
      </c>
      <c r="O32" s="62">
        <v>7977.51</v>
      </c>
      <c r="P32" s="62">
        <v>0</v>
      </c>
      <c r="Q32" s="62">
        <v>0</v>
      </c>
      <c r="R32" s="65">
        <v>0</v>
      </c>
      <c r="Y32" s="151" t="s">
        <v>0</v>
      </c>
    </row>
    <row r="33" spans="1:25" x14ac:dyDescent="0.2">
      <c r="A33" s="56"/>
      <c r="B33" s="60"/>
      <c r="C33" s="239" t="s">
        <v>160</v>
      </c>
      <c r="D33" s="259">
        <v>4.95</v>
      </c>
      <c r="E33" s="239" t="s">
        <v>161</v>
      </c>
      <c r="F33" s="281">
        <v>45708</v>
      </c>
      <c r="G33" s="240">
        <v>0</v>
      </c>
      <c r="H33" s="95">
        <v>0</v>
      </c>
      <c r="I33" s="95">
        <v>0</v>
      </c>
      <c r="J33" s="240">
        <v>0</v>
      </c>
      <c r="K33" s="92">
        <f t="shared" ref="K33:K38" si="4">SUM(J33+O33+P14+Q14)</f>
        <v>6102.7999999999993</v>
      </c>
      <c r="L33" s="169">
        <v>12325.5</v>
      </c>
      <c r="M33" s="170"/>
      <c r="N33" s="171">
        <v>249000</v>
      </c>
      <c r="O33" s="61">
        <v>3106.7</v>
      </c>
      <c r="P33" s="62">
        <v>1722.19</v>
      </c>
      <c r="Q33" s="62">
        <v>0</v>
      </c>
      <c r="R33" s="65">
        <v>0</v>
      </c>
    </row>
    <row r="34" spans="1:25" x14ac:dyDescent="0.2">
      <c r="A34" s="56"/>
      <c r="B34" s="60"/>
      <c r="C34" s="239" t="s">
        <v>162</v>
      </c>
      <c r="D34" s="259">
        <v>5</v>
      </c>
      <c r="E34" s="261" t="s">
        <v>163</v>
      </c>
      <c r="F34" s="260">
        <v>45709</v>
      </c>
      <c r="G34" s="240">
        <v>0</v>
      </c>
      <c r="H34" s="240">
        <v>0</v>
      </c>
      <c r="I34" s="95">
        <v>0</v>
      </c>
      <c r="J34" s="240">
        <v>0</v>
      </c>
      <c r="K34" s="92">
        <f t="shared" si="4"/>
        <v>14749.849999999999</v>
      </c>
      <c r="L34" s="169">
        <v>11900</v>
      </c>
      <c r="M34" s="170"/>
      <c r="N34" s="171">
        <v>238000</v>
      </c>
      <c r="O34" s="62">
        <v>2999.45</v>
      </c>
      <c r="P34" s="62">
        <v>1695.34</v>
      </c>
      <c r="Q34" s="62">
        <v>0</v>
      </c>
      <c r="R34" s="65">
        <v>0</v>
      </c>
    </row>
    <row r="35" spans="1:25" x14ac:dyDescent="0.2">
      <c r="A35" s="56"/>
      <c r="B35" s="60"/>
      <c r="C35" s="239" t="s">
        <v>140</v>
      </c>
      <c r="D35" s="259">
        <v>5.25</v>
      </c>
      <c r="E35" s="239" t="s">
        <v>131</v>
      </c>
      <c r="F35" s="281">
        <v>45733</v>
      </c>
      <c r="G35" s="240">
        <v>0</v>
      </c>
      <c r="H35" s="95">
        <v>0</v>
      </c>
      <c r="I35" s="262">
        <v>0</v>
      </c>
      <c r="J35" s="240">
        <v>0</v>
      </c>
      <c r="K35" s="92">
        <f t="shared" si="4"/>
        <v>6218.01</v>
      </c>
      <c r="L35" s="169">
        <v>26180.82</v>
      </c>
      <c r="M35" s="170"/>
      <c r="N35" s="171">
        <v>249000</v>
      </c>
      <c r="O35" s="62">
        <v>3300.04</v>
      </c>
      <c r="P35" s="62">
        <v>2650.1</v>
      </c>
      <c r="Q35" s="62">
        <v>0</v>
      </c>
      <c r="R35" s="65">
        <v>0</v>
      </c>
    </row>
    <row r="36" spans="1:25" x14ac:dyDescent="0.2">
      <c r="A36" s="56"/>
      <c r="B36" s="60"/>
      <c r="C36" s="239" t="s">
        <v>132</v>
      </c>
      <c r="D36" s="259">
        <v>5.25</v>
      </c>
      <c r="E36" s="261">
        <v>254673278</v>
      </c>
      <c r="F36" s="281">
        <v>45737</v>
      </c>
      <c r="G36" s="240">
        <v>0</v>
      </c>
      <c r="H36" s="95">
        <v>0</v>
      </c>
      <c r="I36" s="262">
        <v>0</v>
      </c>
      <c r="J36" s="240">
        <v>0</v>
      </c>
      <c r="K36" s="92">
        <f t="shared" si="4"/>
        <v>6242.1200000000008</v>
      </c>
      <c r="L36" s="169">
        <v>25515</v>
      </c>
      <c r="M36" s="170"/>
      <c r="N36" s="171">
        <v>243000</v>
      </c>
      <c r="O36" s="62">
        <v>3216.32</v>
      </c>
      <c r="P36" s="62">
        <v>2791</v>
      </c>
      <c r="Q36" s="62">
        <v>0</v>
      </c>
      <c r="R36" s="65">
        <v>0</v>
      </c>
      <c r="Y36" s="151"/>
    </row>
    <row r="37" spans="1:25" x14ac:dyDescent="0.2">
      <c r="A37" s="56"/>
      <c r="B37" s="60"/>
      <c r="C37" s="239" t="s">
        <v>133</v>
      </c>
      <c r="D37" s="259">
        <v>5.3</v>
      </c>
      <c r="E37" s="239" t="s">
        <v>134</v>
      </c>
      <c r="F37" s="281">
        <v>45740</v>
      </c>
      <c r="G37" s="240">
        <v>0</v>
      </c>
      <c r="H37" s="95">
        <v>0</v>
      </c>
      <c r="I37" s="262">
        <v>0</v>
      </c>
      <c r="J37" s="240">
        <v>0</v>
      </c>
      <c r="K37" s="92">
        <f t="shared" si="4"/>
        <v>6327.42</v>
      </c>
      <c r="L37" s="169">
        <v>26502.47</v>
      </c>
      <c r="M37" s="170"/>
      <c r="N37" s="171">
        <v>249000</v>
      </c>
      <c r="O37" s="62">
        <v>3331.32</v>
      </c>
      <c r="P37" s="62">
        <v>2965.97</v>
      </c>
      <c r="Q37" s="62">
        <v>0</v>
      </c>
      <c r="R37" s="65">
        <v>0</v>
      </c>
    </row>
    <row r="38" spans="1:25" x14ac:dyDescent="0.2">
      <c r="A38" s="56"/>
      <c r="B38" s="60"/>
      <c r="C38" s="319" t="s">
        <v>135</v>
      </c>
      <c r="D38" s="320">
        <v>5.15</v>
      </c>
      <c r="E38" s="321" t="s">
        <v>136</v>
      </c>
      <c r="F38" s="322">
        <v>45743</v>
      </c>
      <c r="G38" s="240">
        <v>0</v>
      </c>
      <c r="H38" s="95">
        <v>0</v>
      </c>
      <c r="I38" s="262">
        <v>0</v>
      </c>
      <c r="J38" s="240">
        <v>0</v>
      </c>
      <c r="K38" s="92">
        <f t="shared" si="4"/>
        <v>115266.73</v>
      </c>
      <c r="L38" s="169">
        <v>25063.29</v>
      </c>
      <c r="M38" s="170"/>
      <c r="N38" s="171">
        <v>243000</v>
      </c>
      <c r="O38" s="62">
        <v>3159.28</v>
      </c>
      <c r="P38" s="62">
        <v>2913.78</v>
      </c>
      <c r="Q38" s="62">
        <v>0</v>
      </c>
      <c r="R38" s="65">
        <v>0</v>
      </c>
    </row>
    <row r="39" spans="1:25" ht="13.5" thickBot="1" x14ac:dyDescent="0.25">
      <c r="A39" s="56"/>
      <c r="B39" s="60"/>
      <c r="C39" s="54"/>
      <c r="D39" s="109"/>
      <c r="E39" s="34" t="s">
        <v>199</v>
      </c>
      <c r="F39" s="35"/>
      <c r="G39" s="66">
        <f>SUM(G7:G38)</f>
        <v>46666533.299999997</v>
      </c>
      <c r="H39" s="66">
        <f>SUM(H7:H38)</f>
        <v>46622897.049999997</v>
      </c>
      <c r="I39" s="66">
        <f>SUM(I7:I38)</f>
        <v>46655299.600000001</v>
      </c>
      <c r="J39" s="66">
        <f>SUM(J7:J38)</f>
        <v>604470.12</v>
      </c>
      <c r="K39" s="66">
        <f>SUM(K7:K38)</f>
        <v>1820962.8799999997</v>
      </c>
      <c r="L39" s="277"/>
      <c r="M39" s="278"/>
      <c r="N39" s="279"/>
      <c r="O39" s="66">
        <f>SUM(O7:O38)</f>
        <v>421401.21</v>
      </c>
      <c r="P39" s="66">
        <f>SUM(P7:P38)</f>
        <v>672313.91999999993</v>
      </c>
      <c r="Q39" s="66">
        <f>SUM(Q7:Q38)</f>
        <v>0</v>
      </c>
      <c r="R39" s="66">
        <f>SUM(R7:R38)</f>
        <v>0</v>
      </c>
    </row>
    <row r="40" spans="1:25" ht="14.25" customHeight="1" x14ac:dyDescent="0.2">
      <c r="A40" s="94"/>
      <c r="B40" s="77"/>
      <c r="L40" s="169"/>
      <c r="M40" s="170"/>
      <c r="N40" s="171"/>
      <c r="R40" s="62"/>
    </row>
    <row r="41" spans="1:25" ht="14.25" customHeight="1" x14ac:dyDescent="0.2">
      <c r="A41" s="94"/>
      <c r="B41" s="77"/>
      <c r="L41" s="169"/>
      <c r="M41" s="170"/>
      <c r="N41" s="171"/>
      <c r="R41" s="62"/>
    </row>
    <row r="42" spans="1:25" ht="14.25" customHeight="1" x14ac:dyDescent="0.2">
      <c r="A42" s="94"/>
      <c r="B42" s="77"/>
      <c r="L42" s="169"/>
      <c r="M42" s="170"/>
      <c r="N42" s="171"/>
      <c r="R42" s="62"/>
    </row>
    <row r="43" spans="1:25" ht="14.25" customHeight="1" x14ac:dyDescent="0.2">
      <c r="A43" s="94"/>
      <c r="B43" s="77"/>
      <c r="L43" s="169"/>
      <c r="M43" s="170"/>
      <c r="N43" s="171"/>
    </row>
    <row r="44" spans="1:25" ht="12" customHeight="1" x14ac:dyDescent="0.2">
      <c r="A44" s="20" t="s">
        <v>111</v>
      </c>
      <c r="B44" s="77"/>
      <c r="C44" s="113" t="s">
        <v>97</v>
      </c>
      <c r="D44" s="114">
        <f>SUM(D7)</f>
        <v>3.7042999999999999</v>
      </c>
      <c r="E44" s="125"/>
      <c r="F44" s="115">
        <f>SUM(F7)</f>
        <v>45838</v>
      </c>
      <c r="G44" s="116">
        <v>77887.23</v>
      </c>
      <c r="H44" s="116">
        <f>SUM(G44)</f>
        <v>77887.23</v>
      </c>
      <c r="I44" s="116">
        <f>SUM(G44)</f>
        <v>77887.23</v>
      </c>
      <c r="J44" s="119">
        <v>3588.43</v>
      </c>
      <c r="K44" s="117">
        <f>SUM(J44+O44+P44+Q44)</f>
        <v>47571.39</v>
      </c>
      <c r="L44" s="169"/>
      <c r="M44" s="170"/>
      <c r="N44" s="171"/>
      <c r="O44" s="62">
        <v>27898.98</v>
      </c>
      <c r="P44" s="62">
        <v>16083.98</v>
      </c>
      <c r="R44" s="65"/>
    </row>
    <row r="45" spans="1:25" ht="12" customHeight="1" x14ac:dyDescent="0.2">
      <c r="A45" s="20"/>
      <c r="B45" s="186" t="s">
        <v>0</v>
      </c>
      <c r="C45" s="56" t="s">
        <v>183</v>
      </c>
      <c r="D45" s="153">
        <v>4.2300000000000004</v>
      </c>
      <c r="E45" s="159"/>
      <c r="F45" s="156">
        <v>45838</v>
      </c>
      <c r="G45" s="64">
        <v>8320204.8399999999</v>
      </c>
      <c r="H45" s="64">
        <f>SUM(G45)</f>
        <v>8320204.8399999999</v>
      </c>
      <c r="I45" s="64">
        <f>SUM(G45)</f>
        <v>8320204.8399999999</v>
      </c>
      <c r="J45" s="65">
        <v>87501.86</v>
      </c>
      <c r="K45" s="68">
        <f>SUM(J45+O45+P45+Q45)</f>
        <v>270815.90000000002</v>
      </c>
      <c r="L45" s="169"/>
      <c r="M45" s="170"/>
      <c r="N45" s="171"/>
      <c r="O45" s="69">
        <v>95280.49</v>
      </c>
      <c r="P45" s="69">
        <v>88033.55</v>
      </c>
      <c r="Q45" s="69"/>
      <c r="R45" s="65"/>
    </row>
    <row r="46" spans="1:25" ht="12" customHeight="1" x14ac:dyDescent="0.2">
      <c r="A46" s="20"/>
      <c r="B46" s="77"/>
      <c r="D46" s="153"/>
      <c r="E46" s="159"/>
      <c r="F46" s="156"/>
      <c r="G46" s="64"/>
      <c r="H46" s="64"/>
      <c r="J46" s="65"/>
      <c r="K46" s="68"/>
      <c r="L46" s="169"/>
      <c r="M46" s="170"/>
      <c r="N46" s="171"/>
      <c r="R46" s="65"/>
    </row>
    <row r="47" spans="1:25" ht="14.25" customHeight="1" x14ac:dyDescent="0.2">
      <c r="D47" s="76"/>
      <c r="E47" s="26"/>
      <c r="F47" s="25"/>
      <c r="G47" s="61"/>
      <c r="H47" s="3" t="s">
        <v>0</v>
      </c>
      <c r="I47" s="61"/>
      <c r="L47" s="169"/>
      <c r="M47" s="170"/>
      <c r="N47" s="171"/>
      <c r="R47" s="65"/>
    </row>
    <row r="48" spans="1:25" ht="14.25" customHeight="1" x14ac:dyDescent="0.2">
      <c r="D48" s="76"/>
      <c r="E48" s="26"/>
      <c r="F48" s="25"/>
      <c r="G48" s="61"/>
      <c r="H48" s="3"/>
      <c r="I48" s="61"/>
      <c r="L48" s="169"/>
      <c r="M48" s="170"/>
      <c r="N48" s="171"/>
      <c r="R48" s="65"/>
    </row>
    <row r="49" spans="1:18" ht="14.25" customHeight="1" x14ac:dyDescent="0.2">
      <c r="A49" s="20" t="s">
        <v>71</v>
      </c>
      <c r="B49" s="77"/>
      <c r="C49" s="113" t="s">
        <v>97</v>
      </c>
      <c r="D49" s="114">
        <f>SUM(D7)</f>
        <v>3.7042999999999999</v>
      </c>
      <c r="E49" s="113"/>
      <c r="F49" s="115">
        <f>SUM(F7)</f>
        <v>45838</v>
      </c>
      <c r="G49" s="126">
        <v>5369.51</v>
      </c>
      <c r="H49" s="116">
        <f>SUM(G49)</f>
        <v>5369.51</v>
      </c>
      <c r="I49" s="116">
        <f>SUM(G49)</f>
        <v>5369.51</v>
      </c>
      <c r="J49" s="126">
        <v>35.89</v>
      </c>
      <c r="K49" s="117">
        <f>SUM(J49+O49+P49+Q49)</f>
        <v>108.07</v>
      </c>
      <c r="L49" s="169"/>
      <c r="M49" s="170"/>
      <c r="N49" s="171"/>
      <c r="O49" s="63">
        <v>36.08</v>
      </c>
      <c r="P49" s="63">
        <v>36.1</v>
      </c>
      <c r="Q49" s="63"/>
      <c r="R49" s="160"/>
    </row>
    <row r="50" spans="1:18" ht="14.25" customHeight="1" x14ac:dyDescent="0.2">
      <c r="A50" s="20"/>
      <c r="B50" s="77"/>
      <c r="D50" s="153"/>
      <c r="E50" s="56"/>
      <c r="F50" s="156"/>
      <c r="G50" s="160"/>
      <c r="H50" s="64"/>
      <c r="J50" s="160"/>
      <c r="K50" s="68"/>
      <c r="L50" s="169"/>
      <c r="M50" s="170"/>
      <c r="N50" s="171"/>
      <c r="O50" s="63"/>
      <c r="P50" s="63"/>
      <c r="Q50" s="63"/>
      <c r="R50" s="160"/>
    </row>
    <row r="51" spans="1:18" ht="14.25" customHeight="1" x14ac:dyDescent="0.2">
      <c r="D51" s="76"/>
      <c r="E51" s="26"/>
      <c r="F51" s="25"/>
      <c r="G51" s="61"/>
      <c r="H51" s="3"/>
      <c r="I51" s="61"/>
      <c r="L51" s="169"/>
      <c r="M51" s="170"/>
      <c r="N51" s="171"/>
      <c r="R51" s="65"/>
    </row>
    <row r="52" spans="1:18" ht="14.25" customHeight="1" x14ac:dyDescent="0.2">
      <c r="A52" s="20" t="s">
        <v>221</v>
      </c>
      <c r="C52" s="113" t="s">
        <v>97</v>
      </c>
      <c r="D52" s="114">
        <f>SUM(D7)</f>
        <v>3.7042999999999999</v>
      </c>
      <c r="E52" s="113"/>
      <c r="F52" s="115">
        <f>SUM(F10)</f>
        <v>45838</v>
      </c>
      <c r="G52" s="126">
        <v>11640964.699999999</v>
      </c>
      <c r="H52" s="116">
        <f>SUM(G52)</f>
        <v>11640964.699999999</v>
      </c>
      <c r="I52" s="116">
        <f>SUM(G52)</f>
        <v>11640964.699999999</v>
      </c>
      <c r="J52" s="126">
        <v>11170.89</v>
      </c>
      <c r="K52" s="117">
        <f>SUM(J52+O52+P52+Q52)</f>
        <v>11170.89</v>
      </c>
      <c r="L52" s="169"/>
      <c r="M52" s="170"/>
      <c r="N52" s="171"/>
      <c r="O52" s="62">
        <v>0</v>
      </c>
      <c r="P52" s="62">
        <v>0</v>
      </c>
      <c r="R52" s="65"/>
    </row>
    <row r="53" spans="1:18" ht="14.25" customHeight="1" x14ac:dyDescent="0.2">
      <c r="A53" s="20" t="s">
        <v>222</v>
      </c>
      <c r="D53" s="76"/>
      <c r="E53" s="26"/>
      <c r="F53" s="25"/>
      <c r="G53" s="61"/>
      <c r="H53" s="3"/>
      <c r="I53" s="61"/>
      <c r="L53" s="169"/>
      <c r="M53" s="170"/>
      <c r="N53" s="171"/>
      <c r="R53" s="65"/>
    </row>
    <row r="54" spans="1:18" ht="14.25" customHeight="1" x14ac:dyDescent="0.2">
      <c r="D54" s="76"/>
      <c r="E54" s="26"/>
      <c r="F54" s="25"/>
      <c r="G54" s="61"/>
      <c r="H54" s="3"/>
      <c r="I54" s="61"/>
      <c r="L54" s="169"/>
      <c r="M54" s="170"/>
      <c r="N54" s="171"/>
      <c r="R54" s="65"/>
    </row>
    <row r="55" spans="1:18" ht="14.25" customHeight="1" x14ac:dyDescent="0.2">
      <c r="A55" s="20" t="s">
        <v>6</v>
      </c>
      <c r="B55" s="77"/>
      <c r="C55" s="113" t="s">
        <v>97</v>
      </c>
      <c r="D55" s="114">
        <f>SUM(D7)</f>
        <v>3.7042999999999999</v>
      </c>
      <c r="E55" s="113"/>
      <c r="F55" s="115">
        <f>SUM(F7)</f>
        <v>45838</v>
      </c>
      <c r="G55" s="119">
        <v>6342.07</v>
      </c>
      <c r="H55" s="116">
        <f>SUM(G55)</f>
        <v>6342.07</v>
      </c>
      <c r="I55" s="116">
        <f>SUM(G55)</f>
        <v>6342.07</v>
      </c>
      <c r="J55" s="119">
        <v>42.39</v>
      </c>
      <c r="K55" s="117">
        <f>SUM(J55+O55+P55+Q55)</f>
        <v>127.64</v>
      </c>
      <c r="L55" s="169"/>
      <c r="M55" s="170"/>
      <c r="N55" s="171"/>
      <c r="O55" s="62">
        <v>42.61</v>
      </c>
      <c r="P55" s="62">
        <v>42.64</v>
      </c>
      <c r="R55" s="65"/>
    </row>
    <row r="56" spans="1:18" x14ac:dyDescent="0.2">
      <c r="A56" s="20"/>
      <c r="B56" s="77"/>
      <c r="D56" s="76"/>
      <c r="F56" s="25"/>
      <c r="G56" s="63"/>
      <c r="H56" s="63"/>
      <c r="I56" s="63"/>
      <c r="L56" s="169"/>
      <c r="M56" s="170"/>
      <c r="N56" s="171"/>
      <c r="R56" s="65"/>
    </row>
    <row r="57" spans="1:18" ht="12" customHeight="1" x14ac:dyDescent="0.2">
      <c r="A57" s="20"/>
      <c r="B57" s="60"/>
      <c r="D57" s="76"/>
      <c r="F57" s="25"/>
      <c r="G57" s="63"/>
      <c r="H57" s="63"/>
      <c r="I57" s="63"/>
      <c r="J57" s="63"/>
      <c r="L57" s="169"/>
      <c r="M57" s="170"/>
      <c r="N57" s="171"/>
      <c r="O57" s="63"/>
      <c r="P57" s="63"/>
      <c r="Q57" s="63"/>
      <c r="R57" s="160"/>
    </row>
    <row r="58" spans="1:18" ht="12" customHeight="1" x14ac:dyDescent="0.2">
      <c r="A58" s="20" t="s">
        <v>102</v>
      </c>
      <c r="B58" s="60"/>
      <c r="C58" s="113" t="s">
        <v>97</v>
      </c>
      <c r="D58" s="114">
        <f>SUM(D7)</f>
        <v>3.7042999999999999</v>
      </c>
      <c r="E58" s="113"/>
      <c r="F58" s="115">
        <f>SUM(F7)</f>
        <v>45838</v>
      </c>
      <c r="G58" s="126">
        <v>2073032.18</v>
      </c>
      <c r="H58" s="116">
        <f>SUM(G58)</f>
        <v>2073032.18</v>
      </c>
      <c r="I58" s="116">
        <f>SUM(G58)</f>
        <v>2073032.18</v>
      </c>
      <c r="J58" s="126">
        <v>13379.87</v>
      </c>
      <c r="K58" s="117">
        <f t="shared" ref="K58" si="5">SUM(J58+O58+P58+Q58)</f>
        <v>61486.95</v>
      </c>
      <c r="L58" s="169"/>
      <c r="M58" s="170"/>
      <c r="N58" s="171"/>
      <c r="O58" s="63">
        <v>26867.09</v>
      </c>
      <c r="P58" s="63">
        <v>21239.99</v>
      </c>
      <c r="Q58" s="63"/>
      <c r="R58" s="160"/>
    </row>
    <row r="59" spans="1:18" ht="12" customHeight="1" x14ac:dyDescent="0.2">
      <c r="A59" s="20"/>
      <c r="B59" s="60"/>
      <c r="D59" s="76"/>
      <c r="F59" s="25"/>
      <c r="G59" s="63"/>
      <c r="H59" s="63"/>
      <c r="I59" s="63"/>
      <c r="J59" s="63"/>
      <c r="L59" s="169"/>
      <c r="M59" s="170"/>
      <c r="N59" s="171"/>
      <c r="O59" s="63"/>
      <c r="P59" s="63"/>
      <c r="Q59" s="63"/>
      <c r="R59" s="160"/>
    </row>
    <row r="60" spans="1:18" ht="12" customHeight="1" x14ac:dyDescent="0.2">
      <c r="A60" s="20"/>
      <c r="B60" s="60"/>
      <c r="D60" s="76"/>
      <c r="F60" s="25"/>
      <c r="G60" s="63"/>
      <c r="H60" s="63"/>
      <c r="I60" s="63"/>
      <c r="J60" s="63"/>
      <c r="L60" s="169"/>
      <c r="M60" s="170"/>
      <c r="N60" s="171"/>
      <c r="O60" s="63"/>
      <c r="P60" s="63"/>
      <c r="Q60" s="63"/>
      <c r="R60" s="160"/>
    </row>
    <row r="61" spans="1:18" x14ac:dyDescent="0.2">
      <c r="A61" s="20" t="s">
        <v>10</v>
      </c>
      <c r="B61" s="51"/>
      <c r="C61" s="113" t="s">
        <v>97</v>
      </c>
      <c r="D61" s="114">
        <f>SUM(D7)</f>
        <v>3.7042999999999999</v>
      </c>
      <c r="E61" s="113"/>
      <c r="F61" s="115">
        <f>SUM(F7)</f>
        <v>45838</v>
      </c>
      <c r="G61" s="116">
        <v>80502.880000000005</v>
      </c>
      <c r="H61" s="116">
        <f>SUM(G61)</f>
        <v>80502.880000000005</v>
      </c>
      <c r="I61" s="116">
        <f>SUM(G61)</f>
        <v>80502.880000000005</v>
      </c>
      <c r="J61" s="119">
        <v>536.96</v>
      </c>
      <c r="K61" s="117">
        <f>SUM(J61+O61+P61+Q61)</f>
        <v>1603.0100000000002</v>
      </c>
      <c r="L61" s="169"/>
      <c r="M61" s="170"/>
      <c r="N61" s="171"/>
      <c r="O61" s="62">
        <v>530.82000000000005</v>
      </c>
      <c r="P61" s="62">
        <v>535.23</v>
      </c>
      <c r="R61" s="65"/>
    </row>
    <row r="62" spans="1:18" x14ac:dyDescent="0.2">
      <c r="A62" s="20"/>
      <c r="B62" s="51"/>
      <c r="D62" s="153"/>
      <c r="E62" s="56"/>
      <c r="F62" s="156"/>
      <c r="G62" s="64"/>
      <c r="H62" s="64"/>
      <c r="J62" s="65"/>
      <c r="K62" s="68"/>
      <c r="L62" s="169"/>
      <c r="M62" s="170"/>
      <c r="N62" s="171"/>
      <c r="R62" s="65"/>
    </row>
    <row r="63" spans="1:18" x14ac:dyDescent="0.2">
      <c r="A63" s="20"/>
      <c r="B63" s="51"/>
      <c r="D63" s="153"/>
      <c r="E63" s="56"/>
      <c r="F63" s="156"/>
      <c r="G63" s="64"/>
      <c r="H63" s="64"/>
      <c r="J63" s="65"/>
      <c r="K63" s="68"/>
      <c r="L63" s="169"/>
      <c r="M63" s="170"/>
      <c r="N63" s="171"/>
      <c r="R63" s="65"/>
    </row>
    <row r="64" spans="1:18" s="56" customFormat="1" x14ac:dyDescent="0.2">
      <c r="A64" s="20" t="s">
        <v>29</v>
      </c>
      <c r="B64" s="60"/>
      <c r="C64" s="113" t="s">
        <v>97</v>
      </c>
      <c r="D64" s="114">
        <f>SUM(D7)</f>
        <v>3.7042999999999999</v>
      </c>
      <c r="E64" s="113"/>
      <c r="F64" s="115">
        <f>SUM(F7)</f>
        <v>45838</v>
      </c>
      <c r="G64" s="119">
        <v>806954.93</v>
      </c>
      <c r="H64" s="116">
        <f>SUM(G64)</f>
        <v>806954.93</v>
      </c>
      <c r="I64" s="116">
        <f>SUM(G64)</f>
        <v>806954.93</v>
      </c>
      <c r="J64" s="119">
        <v>3482.98</v>
      </c>
      <c r="K64" s="117">
        <f>SUM(J64+O64+P64+Q64)</f>
        <v>11802.39</v>
      </c>
      <c r="L64" s="169"/>
      <c r="M64" s="170"/>
      <c r="N64" s="171"/>
      <c r="O64" s="62">
        <v>2731.13</v>
      </c>
      <c r="P64" s="62">
        <v>5588.28</v>
      </c>
      <c r="Q64" s="62"/>
      <c r="R64" s="65"/>
    </row>
    <row r="65" spans="1:18" s="56" customFormat="1" x14ac:dyDescent="0.2">
      <c r="A65" s="20"/>
      <c r="B65" s="60"/>
      <c r="D65" s="153"/>
      <c r="F65" s="156"/>
      <c r="G65" s="65"/>
      <c r="H65" s="64"/>
      <c r="I65" s="64"/>
      <c r="J65" s="65"/>
      <c r="K65" s="68"/>
      <c r="L65" s="169"/>
      <c r="M65" s="170"/>
      <c r="N65" s="171"/>
      <c r="O65" s="62"/>
      <c r="P65" s="62"/>
      <c r="Q65" s="62"/>
      <c r="R65" s="65"/>
    </row>
    <row r="66" spans="1:18" x14ac:dyDescent="0.2">
      <c r="A66" s="20"/>
      <c r="B66" s="51"/>
      <c r="D66" s="153"/>
      <c r="E66" s="56"/>
      <c r="F66" s="156"/>
      <c r="G66" s="64"/>
      <c r="H66" s="64"/>
      <c r="J66" s="65"/>
      <c r="K66" s="68"/>
      <c r="L66" s="169"/>
      <c r="M66" s="170"/>
      <c r="N66" s="171"/>
      <c r="O66" s="65"/>
      <c r="R66" s="65"/>
    </row>
    <row r="67" spans="1:18" x14ac:dyDescent="0.2">
      <c r="A67" s="20" t="s">
        <v>82</v>
      </c>
      <c r="C67" s="113" t="s">
        <v>97</v>
      </c>
      <c r="D67" s="114">
        <f>SUM(D7)</f>
        <v>3.7042999999999999</v>
      </c>
      <c r="E67" s="113"/>
      <c r="F67" s="115">
        <f>SUM(F7)</f>
        <v>45838</v>
      </c>
      <c r="G67" s="119">
        <v>1121030.1200000001</v>
      </c>
      <c r="H67" s="116">
        <f>SUM(G67)</f>
        <v>1121030.1200000001</v>
      </c>
      <c r="I67" s="116">
        <f>SUM(G67)</f>
        <v>1121030.1200000001</v>
      </c>
      <c r="J67" s="119">
        <f>3665.2+3826.46</f>
        <v>7491.66</v>
      </c>
      <c r="K67" s="117">
        <f>SUM(J67+O67+P67+Q67)</f>
        <v>22557</v>
      </c>
      <c r="L67" s="169"/>
      <c r="M67" s="170"/>
      <c r="N67" s="171"/>
      <c r="O67" s="62">
        <v>7529.82</v>
      </c>
      <c r="P67" s="62">
        <v>7535.52</v>
      </c>
      <c r="R67" s="65"/>
    </row>
    <row r="68" spans="1:18" x14ac:dyDescent="0.2">
      <c r="A68" s="20"/>
      <c r="D68" s="153"/>
      <c r="E68" s="56"/>
      <c r="F68" s="156"/>
      <c r="G68" s="65"/>
      <c r="H68" s="64"/>
      <c r="J68" s="65"/>
      <c r="K68" s="68"/>
      <c r="L68" s="169"/>
      <c r="M68" s="170"/>
      <c r="N68" s="171"/>
      <c r="R68" s="65"/>
    </row>
    <row r="69" spans="1:18" x14ac:dyDescent="0.2">
      <c r="A69" s="82"/>
      <c r="B69" s="83"/>
      <c r="C69" s="84"/>
      <c r="D69" s="85"/>
      <c r="E69" s="86"/>
      <c r="F69" s="25"/>
      <c r="G69" s="87"/>
      <c r="H69" s="87"/>
      <c r="I69" s="87"/>
      <c r="J69" s="88"/>
      <c r="L69" s="169"/>
      <c r="M69" s="170"/>
      <c r="N69" s="171"/>
      <c r="O69" s="88"/>
      <c r="P69" s="88"/>
      <c r="Q69" s="88"/>
      <c r="R69" s="187"/>
    </row>
    <row r="70" spans="1:18" ht="12" customHeight="1" x14ac:dyDescent="0.2">
      <c r="A70" s="20" t="s">
        <v>8</v>
      </c>
      <c r="C70" s="113" t="s">
        <v>97</v>
      </c>
      <c r="D70" s="114">
        <f>SUM(D7)</f>
        <v>3.7042999999999999</v>
      </c>
      <c r="E70" s="113"/>
      <c r="F70" s="115">
        <f>SUM(F7)</f>
        <v>45838</v>
      </c>
      <c r="G70" s="116">
        <v>487589.23</v>
      </c>
      <c r="H70" s="116">
        <f>SUM(G70)</f>
        <v>487589.23</v>
      </c>
      <c r="I70" s="116">
        <f>SUM(G70)</f>
        <v>487589.23</v>
      </c>
      <c r="J70" s="119">
        <v>9543.94</v>
      </c>
      <c r="K70" s="117">
        <f>SUM(J70+O70+P70+Q70)</f>
        <v>45473.42</v>
      </c>
      <c r="L70" s="169"/>
      <c r="M70" s="170"/>
      <c r="N70" s="171"/>
      <c r="O70" s="62">
        <v>17517.98</v>
      </c>
      <c r="P70" s="62">
        <v>18411.5</v>
      </c>
      <c r="R70" s="65"/>
    </row>
    <row r="71" spans="1:18" ht="12" customHeight="1" x14ac:dyDescent="0.2">
      <c r="C71" s="56" t="s">
        <v>113</v>
      </c>
      <c r="D71" s="76">
        <v>4.32</v>
      </c>
      <c r="E71" t="s">
        <v>0</v>
      </c>
      <c r="F71" s="25">
        <f>SUM(F7)</f>
        <v>45838</v>
      </c>
      <c r="G71" s="62">
        <v>4971.1899999999996</v>
      </c>
      <c r="H71" s="61">
        <f>SUM(G71)</f>
        <v>4971.1899999999996</v>
      </c>
      <c r="I71" s="61">
        <f>SUM(G71)</f>
        <v>4971.1899999999996</v>
      </c>
      <c r="J71" s="62">
        <v>53.1</v>
      </c>
      <c r="K71" s="67">
        <f>SUM(J71+O71+P71+Q71)</f>
        <v>538.08000000000004</v>
      </c>
      <c r="L71" s="169"/>
      <c r="M71" s="170"/>
      <c r="N71" s="171"/>
      <c r="O71" s="62">
        <v>432.31</v>
      </c>
      <c r="P71" s="62">
        <v>52.67</v>
      </c>
      <c r="R71" s="65"/>
    </row>
    <row r="72" spans="1:18" ht="12" customHeight="1" x14ac:dyDescent="0.2">
      <c r="C72" s="113" t="s">
        <v>139</v>
      </c>
      <c r="D72" s="114">
        <v>4.3899999999999997</v>
      </c>
      <c r="E72" s="113" t="s">
        <v>0</v>
      </c>
      <c r="F72" s="115">
        <v>45916</v>
      </c>
      <c r="G72" s="119">
        <v>1035667.4</v>
      </c>
      <c r="H72" s="119">
        <v>1035667.4</v>
      </c>
      <c r="I72" s="119">
        <v>1035667.4</v>
      </c>
      <c r="J72" s="127">
        <v>11335.31</v>
      </c>
      <c r="K72" s="117">
        <f>SUM(J72+O72+P72+Q72)</f>
        <v>23542.559999999998</v>
      </c>
      <c r="L72" s="169"/>
      <c r="M72" s="170"/>
      <c r="N72" s="171"/>
      <c r="O72" s="62">
        <v>996.51</v>
      </c>
      <c r="P72" s="62">
        <v>11210.74</v>
      </c>
      <c r="R72" s="65"/>
    </row>
    <row r="73" spans="1:18" ht="12" customHeight="1" x14ac:dyDescent="0.2">
      <c r="C73" s="293" t="s">
        <v>220</v>
      </c>
      <c r="D73" s="294">
        <v>4.2152000000000003</v>
      </c>
      <c r="E73" s="293"/>
      <c r="F73" s="295">
        <v>45838</v>
      </c>
      <c r="G73" s="296">
        <v>2515605.9900000002</v>
      </c>
      <c r="H73" s="298">
        <f>SUM(G73)</f>
        <v>2515605.9900000002</v>
      </c>
      <c r="I73" s="298">
        <f>SUM(G73)</f>
        <v>2515605.9900000002</v>
      </c>
      <c r="J73" s="299">
        <v>15605.99</v>
      </c>
      <c r="K73" s="300">
        <f>SUM(J73+O73+P73+Q73)</f>
        <v>15605.99</v>
      </c>
      <c r="L73" s="169"/>
      <c r="M73" s="170"/>
      <c r="N73" s="171"/>
      <c r="O73" s="62">
        <v>0</v>
      </c>
      <c r="P73" s="62">
        <v>0</v>
      </c>
      <c r="R73" s="65"/>
    </row>
    <row r="74" spans="1:18" ht="12" customHeight="1" x14ac:dyDescent="0.2">
      <c r="C74" s="121" t="s">
        <v>139</v>
      </c>
      <c r="D74" s="122">
        <v>5.47</v>
      </c>
      <c r="E74" s="121"/>
      <c r="F74" s="123">
        <v>45646</v>
      </c>
      <c r="G74" s="124">
        <v>0</v>
      </c>
      <c r="H74" s="124">
        <v>0</v>
      </c>
      <c r="I74" s="124">
        <v>0</v>
      </c>
      <c r="J74" s="124">
        <v>0</v>
      </c>
      <c r="K74" s="149">
        <f>SUM(J74+O74+P74+Q74)</f>
        <v>13787.4</v>
      </c>
      <c r="L74" s="169">
        <v>35667.4</v>
      </c>
      <c r="M74" s="170"/>
      <c r="N74" s="171">
        <v>1000000</v>
      </c>
      <c r="O74" s="62">
        <v>13787.4</v>
      </c>
      <c r="P74" s="62">
        <v>0</v>
      </c>
      <c r="R74" s="65"/>
    </row>
    <row r="75" spans="1:18" ht="12" customHeight="1" x14ac:dyDescent="0.2">
      <c r="D75" s="76"/>
      <c r="F75" s="25"/>
      <c r="H75" s="62"/>
      <c r="I75" s="62"/>
      <c r="L75" s="169"/>
      <c r="M75" s="170"/>
      <c r="N75" s="171"/>
      <c r="R75" s="65"/>
    </row>
    <row r="76" spans="1:18" ht="12" customHeight="1" x14ac:dyDescent="0.2">
      <c r="D76" s="76"/>
      <c r="F76" s="25"/>
      <c r="H76" s="62"/>
      <c r="I76" s="62"/>
      <c r="L76" s="169"/>
      <c r="M76" s="170"/>
      <c r="N76" s="171"/>
      <c r="R76" s="65"/>
    </row>
    <row r="77" spans="1:18" s="86" customFormat="1" x14ac:dyDescent="0.2">
      <c r="A77" s="20" t="s">
        <v>190</v>
      </c>
      <c r="B77" s="50"/>
      <c r="C77" s="113" t="s">
        <v>97</v>
      </c>
      <c r="D77" s="114">
        <f>SUM(D7)</f>
        <v>3.7042999999999999</v>
      </c>
      <c r="E77" s="113"/>
      <c r="F77" s="115">
        <f>SUM(F7)</f>
        <v>45838</v>
      </c>
      <c r="G77" s="116">
        <v>1975506.93</v>
      </c>
      <c r="H77" s="116">
        <f>SUM(G77)</f>
        <v>1975506.93</v>
      </c>
      <c r="I77" s="116">
        <f>SUM(G77)</f>
        <v>1975506.93</v>
      </c>
      <c r="J77" s="127" t="s">
        <v>128</v>
      </c>
      <c r="K77" s="127" t="s">
        <v>128</v>
      </c>
      <c r="L77" s="193"/>
      <c r="M77" s="172"/>
      <c r="N77" s="194"/>
      <c r="O77" s="158" t="s">
        <v>128</v>
      </c>
      <c r="P77" s="158" t="s">
        <v>128</v>
      </c>
      <c r="Q77" s="158" t="s">
        <v>128</v>
      </c>
      <c r="R77" s="158" t="s">
        <v>128</v>
      </c>
    </row>
    <row r="78" spans="1:18" ht="12" customHeight="1" x14ac:dyDescent="0.2">
      <c r="A78" s="20"/>
      <c r="B78" s="60"/>
      <c r="D78" s="76"/>
      <c r="F78" s="25"/>
      <c r="G78" s="63"/>
      <c r="H78" s="63"/>
      <c r="I78" s="63"/>
      <c r="J78" s="63"/>
      <c r="L78" s="169"/>
      <c r="M78" s="170"/>
      <c r="N78" s="171"/>
      <c r="O78" s="63"/>
      <c r="P78" s="63"/>
      <c r="Q78" s="63"/>
      <c r="R78" s="160"/>
    </row>
    <row r="79" spans="1:18" ht="12" customHeight="1" x14ac:dyDescent="0.2">
      <c r="A79" s="20"/>
      <c r="B79" s="60"/>
      <c r="D79" s="76"/>
      <c r="F79" s="25"/>
      <c r="G79" s="63"/>
      <c r="H79" s="63"/>
      <c r="I79" s="63"/>
      <c r="J79" s="63"/>
      <c r="L79" s="169"/>
      <c r="M79" s="170"/>
      <c r="N79" s="171"/>
      <c r="O79" s="63"/>
      <c r="P79" s="63"/>
      <c r="Q79" s="63"/>
      <c r="R79" s="160"/>
    </row>
    <row r="80" spans="1:18" s="20" customFormat="1" ht="14.25" customHeight="1" x14ac:dyDescent="0.2">
      <c r="A80" s="20" t="s">
        <v>9</v>
      </c>
      <c r="B80" s="51"/>
      <c r="C80" s="113" t="s">
        <v>97</v>
      </c>
      <c r="D80" s="114">
        <f>SUM(D7)</f>
        <v>3.7042999999999999</v>
      </c>
      <c r="E80" s="113"/>
      <c r="F80" s="115">
        <f>SUM(F7)</f>
        <v>45838</v>
      </c>
      <c r="G80" s="116">
        <v>2275140.2200000002</v>
      </c>
      <c r="H80" s="116">
        <f>SUM(G80)</f>
        <v>2275140.2200000002</v>
      </c>
      <c r="I80" s="116">
        <f>SUM(G80)</f>
        <v>2275140.2200000002</v>
      </c>
      <c r="J80" s="119">
        <v>8904.7800000000007</v>
      </c>
      <c r="K80" s="117">
        <f>SUM(J80+O80+P80+Q80)</f>
        <v>29866.079999999998</v>
      </c>
      <c r="L80" s="169"/>
      <c r="M80" s="170"/>
      <c r="N80" s="171"/>
      <c r="O80" s="62">
        <v>13627.89</v>
      </c>
      <c r="P80" s="62">
        <v>7333.41</v>
      </c>
      <c r="Q80" s="62"/>
      <c r="R80" s="65"/>
    </row>
    <row r="81" spans="1:18" ht="12" customHeight="1" x14ac:dyDescent="0.2">
      <c r="A81" s="20"/>
      <c r="B81" s="60"/>
      <c r="D81" s="76"/>
      <c r="F81" s="25"/>
      <c r="G81" s="63"/>
      <c r="H81" s="63"/>
      <c r="I81" s="63"/>
      <c r="J81" s="63"/>
      <c r="L81" s="169"/>
      <c r="M81" s="170"/>
      <c r="N81" s="171"/>
      <c r="O81" s="63"/>
      <c r="P81" s="63"/>
      <c r="Q81" s="63"/>
      <c r="R81" s="160"/>
    </row>
    <row r="82" spans="1:18" ht="12" customHeight="1" x14ac:dyDescent="0.2">
      <c r="A82" s="20"/>
      <c r="B82" s="60"/>
      <c r="D82" s="76"/>
      <c r="F82" s="25"/>
      <c r="G82" s="181" t="s">
        <v>0</v>
      </c>
      <c r="H82" s="63"/>
      <c r="I82" s="63"/>
      <c r="J82" s="63"/>
      <c r="L82" s="169"/>
      <c r="M82" s="170"/>
      <c r="N82" s="171"/>
      <c r="O82" s="63"/>
      <c r="P82" s="63"/>
      <c r="Q82" s="63"/>
      <c r="R82" s="160"/>
    </row>
    <row r="83" spans="1:18" x14ac:dyDescent="0.2">
      <c r="A83" s="20" t="s">
        <v>28</v>
      </c>
      <c r="C83" s="113" t="s">
        <v>97</v>
      </c>
      <c r="D83" s="114">
        <f>SUM(D7)</f>
        <v>3.7042999999999999</v>
      </c>
      <c r="E83" s="113"/>
      <c r="F83" s="115">
        <f>SUM(F7)</f>
        <v>45838</v>
      </c>
      <c r="G83" s="116">
        <v>118382</v>
      </c>
      <c r="H83" s="116">
        <f>SUM(G83)</f>
        <v>118382</v>
      </c>
      <c r="I83" s="116">
        <f>SUM(G83)</f>
        <v>118382</v>
      </c>
      <c r="J83" s="119">
        <v>1012.81</v>
      </c>
      <c r="K83" s="117">
        <f>SUM(J83+O83+P83+Q83)</f>
        <v>2055.6</v>
      </c>
      <c r="L83" s="169"/>
      <c r="M83" s="170"/>
      <c r="N83" s="171"/>
      <c r="O83" s="62">
        <v>618.23</v>
      </c>
      <c r="P83" s="62">
        <v>424.56</v>
      </c>
      <c r="R83" s="65"/>
    </row>
    <row r="84" spans="1:18" x14ac:dyDescent="0.2">
      <c r="A84" s="20"/>
      <c r="D84" s="76"/>
      <c r="F84" s="25"/>
      <c r="G84" s="61"/>
      <c r="H84" s="61"/>
      <c r="I84" s="61"/>
      <c r="L84" s="169"/>
      <c r="M84" s="170"/>
      <c r="N84" s="171"/>
      <c r="R84" s="65"/>
    </row>
    <row r="85" spans="1:18" s="56" customFormat="1" x14ac:dyDescent="0.2">
      <c r="A85" s="20"/>
      <c r="B85" s="60"/>
      <c r="D85" s="76"/>
      <c r="E85"/>
      <c r="F85" s="25"/>
      <c r="G85" s="62"/>
      <c r="H85" s="62"/>
      <c r="I85" s="62"/>
      <c r="J85" s="62"/>
      <c r="K85" s="67"/>
      <c r="L85" s="169"/>
      <c r="M85" s="170"/>
      <c r="N85" s="171"/>
      <c r="O85" s="62"/>
      <c r="P85" s="62"/>
      <c r="Q85" s="62"/>
      <c r="R85" s="65"/>
    </row>
    <row r="86" spans="1:18" x14ac:dyDescent="0.2">
      <c r="A86" s="20" t="s">
        <v>13</v>
      </c>
      <c r="C86" s="113" t="s">
        <v>97</v>
      </c>
      <c r="D86" s="114">
        <f>SUM(D7)</f>
        <v>3.7042999999999999</v>
      </c>
      <c r="E86" s="113"/>
      <c r="F86" s="115">
        <f>SUM(F7)</f>
        <v>45838</v>
      </c>
      <c r="G86" s="116">
        <v>2978993.35</v>
      </c>
      <c r="H86" s="116">
        <f>SUM(G86)</f>
        <v>2978993.35</v>
      </c>
      <c r="I86" s="116">
        <f>SUM(G86)</f>
        <v>2978993.35</v>
      </c>
      <c r="J86" s="119">
        <v>18945.7</v>
      </c>
      <c r="K86" s="117">
        <f>SUM(J86+O86+P86+Q86)</f>
        <v>64324.869999999995</v>
      </c>
      <c r="L86" s="169"/>
      <c r="M86" s="170"/>
      <c r="N86" s="171"/>
      <c r="O86" s="62">
        <v>18665.439999999999</v>
      </c>
      <c r="P86" s="62">
        <v>26713.73</v>
      </c>
      <c r="R86" s="65"/>
    </row>
    <row r="87" spans="1:18" ht="12" customHeight="1" x14ac:dyDescent="0.2">
      <c r="A87" s="20"/>
      <c r="B87" s="60"/>
      <c r="D87" s="76"/>
      <c r="F87" s="25"/>
      <c r="G87" s="63"/>
      <c r="H87" s="63"/>
      <c r="I87" s="63"/>
      <c r="J87" s="63"/>
      <c r="L87" s="169"/>
      <c r="M87" s="170"/>
      <c r="N87" s="171"/>
      <c r="O87" s="63"/>
      <c r="P87" s="63"/>
      <c r="Q87" s="63"/>
      <c r="R87" s="160"/>
    </row>
    <row r="88" spans="1:18" ht="12" customHeight="1" x14ac:dyDescent="0.2">
      <c r="A88" s="20"/>
      <c r="B88" s="60"/>
      <c r="D88" s="76"/>
      <c r="F88" s="25"/>
      <c r="G88" s="63"/>
      <c r="H88" s="63"/>
      <c r="I88" s="63"/>
      <c r="J88" s="63"/>
      <c r="L88" s="169"/>
      <c r="M88" s="170"/>
      <c r="N88" s="171"/>
      <c r="O88" s="63"/>
      <c r="P88" s="63"/>
      <c r="Q88" s="63"/>
      <c r="R88" s="160"/>
    </row>
    <row r="89" spans="1:18" ht="12" customHeight="1" x14ac:dyDescent="0.2">
      <c r="A89" s="20" t="s">
        <v>7</v>
      </c>
      <c r="C89" s="113" t="s">
        <v>97</v>
      </c>
      <c r="D89" s="114">
        <f>SUM(D7)</f>
        <v>3.7042999999999999</v>
      </c>
      <c r="E89" s="113"/>
      <c r="F89" s="115">
        <f>SUM(F7)</f>
        <v>45838</v>
      </c>
      <c r="G89" s="119">
        <v>360004.2</v>
      </c>
      <c r="H89" s="116">
        <f>SUM(G89)</f>
        <v>360004.2</v>
      </c>
      <c r="I89" s="116">
        <f>SUM(G89)</f>
        <v>360004.2</v>
      </c>
      <c r="J89" s="119">
        <v>1692.03</v>
      </c>
      <c r="K89" s="117">
        <f>SUM(J89+O89+P89+Q89)</f>
        <v>2937.45</v>
      </c>
      <c r="L89" s="169"/>
      <c r="M89" s="170"/>
      <c r="N89" s="171"/>
      <c r="O89" s="62">
        <v>728.11</v>
      </c>
      <c r="P89" s="62">
        <v>517.30999999999995</v>
      </c>
      <c r="R89" s="65"/>
    </row>
    <row r="90" spans="1:18" ht="12" customHeight="1" x14ac:dyDescent="0.2">
      <c r="C90" s="56" t="s">
        <v>113</v>
      </c>
      <c r="D90" s="76">
        <v>4.5</v>
      </c>
      <c r="F90" s="25">
        <f>SUM(F7)</f>
        <v>45838</v>
      </c>
      <c r="G90" s="62">
        <v>9504.99</v>
      </c>
      <c r="H90" s="61">
        <f>SUM(G90)</f>
        <v>9504.99</v>
      </c>
      <c r="I90" s="61">
        <f>SUM(G90)</f>
        <v>9504.99</v>
      </c>
      <c r="J90" s="62">
        <v>101.52</v>
      </c>
      <c r="K90" s="67">
        <f>SUM(J90+O90+P90+Q90)</f>
        <v>874.4</v>
      </c>
      <c r="L90" s="169"/>
      <c r="M90" s="170"/>
      <c r="N90" s="171"/>
      <c r="O90" s="62">
        <v>672.16</v>
      </c>
      <c r="P90" s="62">
        <v>100.72</v>
      </c>
      <c r="R90" s="65"/>
    </row>
    <row r="91" spans="1:18" ht="12" customHeight="1" x14ac:dyDescent="0.2">
      <c r="C91" s="113" t="s">
        <v>141</v>
      </c>
      <c r="D91" s="114">
        <v>4.6900000000000004</v>
      </c>
      <c r="E91" s="113"/>
      <c r="F91" s="115">
        <f>SUM(F7)</f>
        <v>45838</v>
      </c>
      <c r="G91" s="119">
        <v>350536.34</v>
      </c>
      <c r="H91" s="116">
        <f>SUM(G91)</f>
        <v>350536.34</v>
      </c>
      <c r="I91" s="116">
        <f>SUM(G91)</f>
        <v>350536.34</v>
      </c>
      <c r="J91" s="119">
        <v>3842.63</v>
      </c>
      <c r="K91" s="117">
        <f>SUM(J91+O91+P91+Q91)</f>
        <v>13734.38</v>
      </c>
      <c r="L91" s="169"/>
      <c r="M91" s="170"/>
      <c r="N91" s="171"/>
      <c r="O91" s="62">
        <v>5376.42</v>
      </c>
      <c r="P91" s="62">
        <v>4515.33</v>
      </c>
      <c r="R91" s="65"/>
    </row>
    <row r="92" spans="1:18" ht="12" customHeight="1" x14ac:dyDescent="0.2">
      <c r="C92" s="293" t="s">
        <v>139</v>
      </c>
      <c r="D92" s="294">
        <v>4.3899999999999997</v>
      </c>
      <c r="E92" s="293"/>
      <c r="F92" s="295">
        <v>45916</v>
      </c>
      <c r="G92" s="296">
        <v>1553501.1</v>
      </c>
      <c r="H92" s="296">
        <v>1553501.1</v>
      </c>
      <c r="I92" s="296">
        <v>1553501.1</v>
      </c>
      <c r="J92" s="296">
        <v>17002.96</v>
      </c>
      <c r="K92" s="297">
        <f>SUM(J92+O92+P92+Q92)</f>
        <v>35313.85</v>
      </c>
      <c r="L92" s="169"/>
      <c r="M92" s="170"/>
      <c r="N92" s="171"/>
      <c r="O92" s="69">
        <v>1494.77</v>
      </c>
      <c r="P92" s="69">
        <v>16816.12</v>
      </c>
      <c r="R92" s="65"/>
    </row>
    <row r="93" spans="1:18" ht="12" customHeight="1" x14ac:dyDescent="0.2">
      <c r="A93" s="56"/>
      <c r="B93" s="60"/>
      <c r="C93" s="121" t="s">
        <v>139</v>
      </c>
      <c r="D93" s="122">
        <v>5.47</v>
      </c>
      <c r="E93" s="121"/>
      <c r="F93" s="123">
        <v>45646</v>
      </c>
      <c r="G93" s="180">
        <v>0</v>
      </c>
      <c r="H93" s="180">
        <v>0</v>
      </c>
      <c r="I93" s="180">
        <v>0</v>
      </c>
      <c r="J93" s="124">
        <v>0</v>
      </c>
      <c r="K93" s="149">
        <f>SUM(J93+O93+P93+Q93)</f>
        <v>20681.099999999999</v>
      </c>
      <c r="L93" s="195">
        <v>53501.1</v>
      </c>
      <c r="M93" s="196"/>
      <c r="N93" s="197">
        <v>1500000</v>
      </c>
      <c r="O93" s="62">
        <v>20681.099999999999</v>
      </c>
      <c r="P93" s="62">
        <v>0</v>
      </c>
      <c r="R93" s="65"/>
    </row>
    <row r="94" spans="1:18" ht="12" customHeight="1" x14ac:dyDescent="0.2">
      <c r="A94" s="56"/>
      <c r="B94" s="60"/>
      <c r="D94" s="153"/>
      <c r="E94" s="56"/>
      <c r="F94" s="156"/>
      <c r="G94" s="65"/>
      <c r="I94" s="65"/>
      <c r="J94" s="65"/>
      <c r="K94" s="68"/>
      <c r="L94" s="173"/>
      <c r="M94" s="173"/>
      <c r="N94" s="173"/>
      <c r="O94" s="158"/>
      <c r="P94" s="158"/>
    </row>
    <row r="95" spans="1:18" ht="12" customHeight="1" x14ac:dyDescent="0.2">
      <c r="A95" s="56"/>
      <c r="B95" s="60"/>
      <c r="D95" s="153"/>
      <c r="E95" s="56"/>
      <c r="F95" s="156"/>
      <c r="G95" s="65"/>
      <c r="I95" s="65"/>
      <c r="J95" s="65"/>
      <c r="K95" s="68"/>
      <c r="L95" s="173"/>
      <c r="M95" s="173"/>
      <c r="N95" s="173"/>
      <c r="O95" s="158"/>
      <c r="P95" s="158"/>
    </row>
    <row r="96" spans="1:18" ht="12" customHeight="1" x14ac:dyDescent="0.2">
      <c r="A96" s="56"/>
      <c r="B96" s="60"/>
      <c r="D96" s="153"/>
      <c r="E96" s="56"/>
      <c r="F96" s="156"/>
      <c r="G96" s="65"/>
      <c r="I96" s="65"/>
      <c r="J96" s="65"/>
      <c r="K96" s="68"/>
      <c r="L96" s="173"/>
      <c r="M96" s="173"/>
      <c r="N96" s="173"/>
      <c r="O96" s="158"/>
      <c r="P96" s="158"/>
    </row>
    <row r="97" spans="1:18" ht="12" customHeight="1" x14ac:dyDescent="0.2">
      <c r="A97" s="56"/>
      <c r="B97" s="60"/>
      <c r="D97" s="153"/>
      <c r="E97" s="56"/>
      <c r="F97" s="156"/>
      <c r="G97" s="65"/>
      <c r="I97" s="65"/>
      <c r="J97" s="65"/>
      <c r="K97" s="68"/>
      <c r="L97" s="173"/>
      <c r="M97" s="173"/>
      <c r="N97" s="173"/>
      <c r="O97" s="158"/>
      <c r="P97" s="158"/>
    </row>
    <row r="98" spans="1:18" s="20" customFormat="1" ht="11.25" customHeight="1" x14ac:dyDescent="0.2">
      <c r="A98" s="20" t="s">
        <v>14</v>
      </c>
      <c r="B98" s="50"/>
      <c r="C98" s="54" t="s">
        <v>103</v>
      </c>
      <c r="D98" s="111"/>
      <c r="F98" s="246" t="s">
        <v>193</v>
      </c>
      <c r="G98" s="89">
        <f>SUM(G99:G132)</f>
        <v>17508152.229999997</v>
      </c>
      <c r="H98" s="89">
        <f>SUM(H99:H132)</f>
        <v>17508152.229999997</v>
      </c>
      <c r="I98" s="89">
        <f>SUM(I99:I132)</f>
        <v>17508152.229999997</v>
      </c>
      <c r="J98" s="89">
        <f>SUM(J99:J132)</f>
        <v>111050.41</v>
      </c>
      <c r="K98" s="91">
        <f>SUM(J98+O98+P98+Q98)</f>
        <v>111050.41</v>
      </c>
      <c r="L98" s="192"/>
      <c r="M98" s="192"/>
      <c r="N98" s="192"/>
      <c r="O98" s="90"/>
      <c r="P98" s="90"/>
      <c r="Q98" s="90"/>
      <c r="R98" s="90"/>
    </row>
    <row r="99" spans="1:18" s="20" customFormat="1" ht="11.25" customHeight="1" x14ac:dyDescent="0.2">
      <c r="A99" s="38"/>
      <c r="B99" s="60"/>
      <c r="C99" s="71" t="s">
        <v>191</v>
      </c>
      <c r="D99" s="153">
        <f>SUM(D7)</f>
        <v>3.7042999999999999</v>
      </c>
      <c r="E99" s="251"/>
      <c r="F99" s="156">
        <f>SUM(F7)</f>
        <v>45838</v>
      </c>
      <c r="G99" s="188">
        <v>2805219.02</v>
      </c>
      <c r="H99" s="155">
        <f>SUM(G99)</f>
        <v>2805219.02</v>
      </c>
      <c r="I99" s="64">
        <f t="shared" ref="I99:I106" si="6">SUM(G99)</f>
        <v>2805219.02</v>
      </c>
      <c r="J99" s="188">
        <v>5470.45</v>
      </c>
      <c r="K99" s="68">
        <f>SUM(J99+O99+P99+Q99)</f>
        <v>36972.369999999995</v>
      </c>
      <c r="L99" s="256"/>
      <c r="M99" s="256"/>
      <c r="N99" s="256"/>
      <c r="O99" s="29">
        <v>15640.24</v>
      </c>
      <c r="P99" s="29">
        <v>15861.68</v>
      </c>
      <c r="Q99" s="29"/>
      <c r="R99" s="188"/>
    </row>
    <row r="100" spans="1:18" s="20" customFormat="1" ht="11.25" customHeight="1" x14ac:dyDescent="0.2">
      <c r="A100" s="72" t="s">
        <v>30</v>
      </c>
      <c r="B100" s="136"/>
      <c r="C100" s="128" t="s">
        <v>31</v>
      </c>
      <c r="D100" s="129">
        <f>SUM(D7)</f>
        <v>3.7042999999999999</v>
      </c>
      <c r="E100" s="134"/>
      <c r="F100" s="130">
        <f>SUM(F99)</f>
        <v>45838</v>
      </c>
      <c r="G100" s="131">
        <v>173296.61</v>
      </c>
      <c r="H100" s="132">
        <f>SUM(G100)</f>
        <v>173296.61</v>
      </c>
      <c r="I100" s="132">
        <f t="shared" si="6"/>
        <v>173296.61</v>
      </c>
      <c r="J100" s="131">
        <v>1138.74</v>
      </c>
      <c r="K100" s="133">
        <f>SUM(J100+O100+P100+Q100)</f>
        <v>3240.2400000000002</v>
      </c>
      <c r="L100" s="256"/>
      <c r="M100" s="256"/>
      <c r="N100" s="256"/>
      <c r="O100" s="29">
        <v>972.69</v>
      </c>
      <c r="P100" s="29">
        <v>1128.81</v>
      </c>
      <c r="Q100" s="29"/>
      <c r="R100" s="188"/>
    </row>
    <row r="101" spans="1:18" s="20" customFormat="1" ht="11.25" customHeight="1" x14ac:dyDescent="0.2">
      <c r="A101" s="38"/>
      <c r="B101" s="50"/>
      <c r="C101" s="71" t="s">
        <v>101</v>
      </c>
      <c r="D101" s="153">
        <f>SUM(D7)</f>
        <v>3.7042999999999999</v>
      </c>
      <c r="E101" s="73"/>
      <c r="F101" s="25">
        <f>SUM(F99)</f>
        <v>45838</v>
      </c>
      <c r="G101" s="29">
        <v>18976.5</v>
      </c>
      <c r="H101" s="61">
        <f t="shared" ref="H101:H106" si="7">SUM(G101)</f>
        <v>18976.5</v>
      </c>
      <c r="I101" s="61">
        <f t="shared" si="6"/>
        <v>18976.5</v>
      </c>
      <c r="J101" s="29" t="s">
        <v>129</v>
      </c>
      <c r="K101" s="29" t="s">
        <v>129</v>
      </c>
      <c r="L101" s="257"/>
      <c r="M101" s="257"/>
      <c r="N101" s="257"/>
      <c r="O101" s="29" t="s">
        <v>194</v>
      </c>
      <c r="P101" s="29" t="s">
        <v>194</v>
      </c>
      <c r="Q101" s="29" t="s">
        <v>194</v>
      </c>
      <c r="R101" s="29" t="s">
        <v>194</v>
      </c>
    </row>
    <row r="102" spans="1:18" s="20" customFormat="1" ht="11.25" customHeight="1" x14ac:dyDescent="0.2">
      <c r="A102" s="24"/>
      <c r="B102" s="136"/>
      <c r="C102" s="128" t="s">
        <v>81</v>
      </c>
      <c r="D102" s="129">
        <f>SUM(D7)</f>
        <v>3.7042999999999999</v>
      </c>
      <c r="E102" s="134"/>
      <c r="F102" s="130">
        <f>SUM(F99)</f>
        <v>45838</v>
      </c>
      <c r="G102" s="135">
        <v>475514.81</v>
      </c>
      <c r="H102" s="132">
        <f t="shared" si="7"/>
        <v>475514.81</v>
      </c>
      <c r="I102" s="132">
        <f t="shared" si="6"/>
        <v>475514.81</v>
      </c>
      <c r="J102" s="131">
        <v>3168.15</v>
      </c>
      <c r="K102" s="133">
        <f>SUM(J102+O102+P102+Q102)</f>
        <v>9343.89</v>
      </c>
      <c r="L102" s="256"/>
      <c r="M102" s="256"/>
      <c r="N102" s="256"/>
      <c r="O102" s="29">
        <v>2966.49</v>
      </c>
      <c r="P102" s="29">
        <v>3209.25</v>
      </c>
      <c r="Q102" s="29"/>
      <c r="R102" s="188"/>
    </row>
    <row r="103" spans="1:18" s="20" customFormat="1" ht="11.25" customHeight="1" x14ac:dyDescent="0.2">
      <c r="A103" s="38"/>
      <c r="B103" s="50"/>
      <c r="C103" s="71" t="s">
        <v>32</v>
      </c>
      <c r="D103" s="153">
        <f>SUM(D7)</f>
        <v>3.7042999999999999</v>
      </c>
      <c r="E103" s="73"/>
      <c r="F103" s="25">
        <f>SUM(F99)</f>
        <v>45838</v>
      </c>
      <c r="G103" s="74">
        <v>156081.76</v>
      </c>
      <c r="H103" s="61">
        <f t="shared" si="7"/>
        <v>156081.76</v>
      </c>
      <c r="I103" s="61">
        <f t="shared" si="6"/>
        <v>156081.76</v>
      </c>
      <c r="J103" s="29">
        <v>1412.77</v>
      </c>
      <c r="K103" s="68">
        <f>SUM(J103+O103+P103+Q103)</f>
        <v>6452.11</v>
      </c>
      <c r="L103" s="256"/>
      <c r="M103" s="256"/>
      <c r="N103" s="256"/>
      <c r="O103" s="29">
        <v>3395.97</v>
      </c>
      <c r="P103" s="29">
        <v>1643.37</v>
      </c>
      <c r="Q103" s="29"/>
      <c r="R103" s="188"/>
    </row>
    <row r="104" spans="1:18" s="20" customFormat="1" ht="11.25" customHeight="1" x14ac:dyDescent="0.2">
      <c r="A104" s="38"/>
      <c r="B104" s="136"/>
      <c r="C104" s="128" t="s">
        <v>118</v>
      </c>
      <c r="D104" s="129">
        <f>SUM(D7)</f>
        <v>3.7042999999999999</v>
      </c>
      <c r="E104" s="134"/>
      <c r="F104" s="130">
        <f>SUM(F99)</f>
        <v>45838</v>
      </c>
      <c r="G104" s="135">
        <v>189606.36</v>
      </c>
      <c r="H104" s="132">
        <f t="shared" si="7"/>
        <v>189606.36</v>
      </c>
      <c r="I104" s="132">
        <f t="shared" si="6"/>
        <v>189606.36</v>
      </c>
      <c r="J104" s="131" t="s">
        <v>129</v>
      </c>
      <c r="K104" s="131" t="s">
        <v>194</v>
      </c>
      <c r="L104" s="257"/>
      <c r="M104" s="257"/>
      <c r="N104" s="257"/>
      <c r="O104" s="29" t="s">
        <v>194</v>
      </c>
      <c r="P104" s="29" t="s">
        <v>194</v>
      </c>
      <c r="Q104" s="29" t="s">
        <v>194</v>
      </c>
      <c r="R104" s="29" t="s">
        <v>194</v>
      </c>
    </row>
    <row r="105" spans="1:18" s="20" customFormat="1" ht="11.25" customHeight="1" x14ac:dyDescent="0.2">
      <c r="A105" s="38"/>
      <c r="B105" s="50"/>
      <c r="C105" s="36" t="s">
        <v>119</v>
      </c>
      <c r="D105" s="153">
        <f>SUM(D7)</f>
        <v>3.7042999999999999</v>
      </c>
      <c r="E105" s="27"/>
      <c r="F105" s="25">
        <f>SUM(F99)</f>
        <v>45838</v>
      </c>
      <c r="G105" s="17">
        <v>546114.02</v>
      </c>
      <c r="H105" s="61">
        <f t="shared" si="7"/>
        <v>546114.02</v>
      </c>
      <c r="I105" s="61">
        <f t="shared" si="6"/>
        <v>546114.02</v>
      </c>
      <c r="J105" s="29" t="s">
        <v>129</v>
      </c>
      <c r="K105" s="29" t="s">
        <v>194</v>
      </c>
      <c r="L105" s="257"/>
      <c r="M105" s="257"/>
      <c r="N105" s="257"/>
      <c r="O105" s="29" t="s">
        <v>194</v>
      </c>
      <c r="P105" s="29" t="s">
        <v>194</v>
      </c>
      <c r="Q105" s="29" t="s">
        <v>194</v>
      </c>
      <c r="R105" s="29" t="s">
        <v>194</v>
      </c>
    </row>
    <row r="106" spans="1:18" s="20" customFormat="1" ht="11.25" customHeight="1" x14ac:dyDescent="0.2">
      <c r="A106" s="38"/>
      <c r="B106" s="136"/>
      <c r="C106" s="128" t="s">
        <v>120</v>
      </c>
      <c r="D106" s="129">
        <f>SUM(D7)</f>
        <v>3.7042999999999999</v>
      </c>
      <c r="E106" s="134"/>
      <c r="F106" s="130">
        <f>SUM(F99)</f>
        <v>45838</v>
      </c>
      <c r="G106" s="135">
        <v>75</v>
      </c>
      <c r="H106" s="132">
        <f t="shared" si="7"/>
        <v>75</v>
      </c>
      <c r="I106" s="132">
        <f t="shared" si="6"/>
        <v>75</v>
      </c>
      <c r="J106" s="131" t="s">
        <v>129</v>
      </c>
      <c r="K106" s="131" t="s">
        <v>194</v>
      </c>
      <c r="L106" s="257"/>
      <c r="M106" s="257"/>
      <c r="N106" s="257"/>
      <c r="O106" s="29" t="s">
        <v>194</v>
      </c>
      <c r="P106" s="29" t="s">
        <v>194</v>
      </c>
      <c r="Q106" s="29" t="s">
        <v>194</v>
      </c>
      <c r="R106" s="29" t="s">
        <v>194</v>
      </c>
    </row>
    <row r="107" spans="1:18" s="20" customFormat="1" ht="11.25" customHeight="1" x14ac:dyDescent="0.2">
      <c r="A107" s="38"/>
      <c r="B107" s="50"/>
      <c r="C107" s="71" t="s">
        <v>122</v>
      </c>
      <c r="D107" s="153">
        <f>SUM(D7)</f>
        <v>3.7042999999999999</v>
      </c>
      <c r="E107" s="73"/>
      <c r="F107" s="25">
        <f>SUM(F99)</f>
        <v>45838</v>
      </c>
      <c r="G107" s="17">
        <v>12719.1</v>
      </c>
      <c r="H107" s="61">
        <f>SUM(G107)</f>
        <v>12719.1</v>
      </c>
      <c r="I107" s="61">
        <f>SUM(G107)</f>
        <v>12719.1</v>
      </c>
      <c r="J107" s="29" t="s">
        <v>129</v>
      </c>
      <c r="K107" s="29" t="s">
        <v>194</v>
      </c>
      <c r="L107" s="257"/>
      <c r="M107" s="257"/>
      <c r="N107" s="257"/>
      <c r="O107" s="29" t="s">
        <v>194</v>
      </c>
      <c r="P107" s="29" t="s">
        <v>194</v>
      </c>
      <c r="Q107" s="29" t="s">
        <v>194</v>
      </c>
      <c r="R107" s="29" t="s">
        <v>194</v>
      </c>
    </row>
    <row r="108" spans="1:18" s="20" customFormat="1" ht="11.25" customHeight="1" x14ac:dyDescent="0.2">
      <c r="A108" s="38"/>
      <c r="B108" s="136"/>
      <c r="C108" s="128" t="s">
        <v>121</v>
      </c>
      <c r="D108" s="129">
        <f>SUM(D7)</f>
        <v>3.7042999999999999</v>
      </c>
      <c r="E108" s="134"/>
      <c r="F108" s="130">
        <f>SUM(F99)</f>
        <v>45838</v>
      </c>
      <c r="G108" s="135">
        <v>16446.14</v>
      </c>
      <c r="H108" s="132">
        <f>SUM(G108)</f>
        <v>16446.14</v>
      </c>
      <c r="I108" s="132">
        <f>SUM(G108)</f>
        <v>16446.14</v>
      </c>
      <c r="J108" s="131" t="s">
        <v>129</v>
      </c>
      <c r="K108" s="131" t="s">
        <v>194</v>
      </c>
      <c r="L108" s="257"/>
      <c r="M108" s="257"/>
      <c r="N108" s="257"/>
      <c r="O108" s="29" t="s">
        <v>194</v>
      </c>
      <c r="P108" s="29" t="s">
        <v>194</v>
      </c>
      <c r="Q108" s="29" t="s">
        <v>194</v>
      </c>
      <c r="R108" s="29" t="s">
        <v>194</v>
      </c>
    </row>
    <row r="109" spans="1:18" s="20" customFormat="1" ht="11.25" customHeight="1" x14ac:dyDescent="0.2">
      <c r="A109" s="38"/>
      <c r="B109" s="50"/>
      <c r="C109" s="71" t="s">
        <v>123</v>
      </c>
      <c r="D109" s="153">
        <f>SUM(D7)</f>
        <v>3.7042999999999999</v>
      </c>
      <c r="E109" s="73"/>
      <c r="F109" s="25">
        <f>SUM(F99)</f>
        <v>45838</v>
      </c>
      <c r="G109" s="17">
        <v>216.36</v>
      </c>
      <c r="H109" s="61">
        <f>SUM(G109)</f>
        <v>216.36</v>
      </c>
      <c r="I109" s="61">
        <f>SUM(G109)</f>
        <v>216.36</v>
      </c>
      <c r="J109" s="29" t="s">
        <v>129</v>
      </c>
      <c r="K109" s="29" t="s">
        <v>194</v>
      </c>
      <c r="L109" s="257"/>
      <c r="M109" s="257"/>
      <c r="N109" s="257"/>
      <c r="O109" s="29" t="s">
        <v>194</v>
      </c>
      <c r="P109" s="29" t="s">
        <v>194</v>
      </c>
      <c r="Q109" s="29" t="s">
        <v>194</v>
      </c>
      <c r="R109" s="29" t="s">
        <v>194</v>
      </c>
    </row>
    <row r="110" spans="1:18" s="20" customFormat="1" ht="11.25" customHeight="1" x14ac:dyDescent="0.2">
      <c r="A110" s="38"/>
      <c r="B110" s="136"/>
      <c r="C110" s="128" t="s">
        <v>124</v>
      </c>
      <c r="D110" s="129">
        <f>SUM(D7)</f>
        <v>3.7042999999999999</v>
      </c>
      <c r="E110" s="134"/>
      <c r="F110" s="130">
        <f>SUM(F99)</f>
        <v>45838</v>
      </c>
      <c r="G110" s="135">
        <v>23237.87</v>
      </c>
      <c r="H110" s="132">
        <f t="shared" ref="H110:H122" si="8">SUM(G110)</f>
        <v>23237.87</v>
      </c>
      <c r="I110" s="132">
        <f t="shared" ref="I110:I122" si="9">SUM(G110)</f>
        <v>23237.87</v>
      </c>
      <c r="J110" s="131" t="s">
        <v>129</v>
      </c>
      <c r="K110" s="131" t="s">
        <v>194</v>
      </c>
      <c r="L110" s="257"/>
      <c r="M110" s="257"/>
      <c r="N110" s="257"/>
      <c r="O110" s="29" t="s">
        <v>194</v>
      </c>
      <c r="P110" s="29" t="s">
        <v>194</v>
      </c>
      <c r="Q110" s="29" t="s">
        <v>194</v>
      </c>
      <c r="R110" s="29" t="s">
        <v>194</v>
      </c>
    </row>
    <row r="111" spans="1:18" s="20" customFormat="1" ht="11.25" customHeight="1" x14ac:dyDescent="0.2">
      <c r="A111" s="38"/>
      <c r="B111" s="50"/>
      <c r="C111" s="71" t="s">
        <v>125</v>
      </c>
      <c r="D111" s="153">
        <f>SUM(D7)</f>
        <v>3.7042999999999999</v>
      </c>
      <c r="E111" s="73"/>
      <c r="F111" s="25">
        <f>SUM(F99)</f>
        <v>45838</v>
      </c>
      <c r="G111" s="17">
        <v>1084098.78</v>
      </c>
      <c r="H111" s="61">
        <f t="shared" si="8"/>
        <v>1084098.78</v>
      </c>
      <c r="I111" s="61">
        <f t="shared" si="9"/>
        <v>1084098.78</v>
      </c>
      <c r="J111" s="29" t="s">
        <v>129</v>
      </c>
      <c r="K111" s="29" t="s">
        <v>194</v>
      </c>
      <c r="L111" s="257"/>
      <c r="M111" s="257"/>
      <c r="N111" s="257"/>
      <c r="O111" s="29" t="s">
        <v>194</v>
      </c>
      <c r="P111" s="29" t="s">
        <v>194</v>
      </c>
      <c r="Q111" s="29" t="s">
        <v>194</v>
      </c>
      <c r="R111" s="29" t="s">
        <v>194</v>
      </c>
    </row>
    <row r="112" spans="1:18" s="20" customFormat="1" ht="11.25" customHeight="1" x14ac:dyDescent="0.2">
      <c r="A112" s="38"/>
      <c r="B112" s="136"/>
      <c r="C112" s="128" t="s">
        <v>152</v>
      </c>
      <c r="D112" s="129">
        <f>SUM(D7)</f>
        <v>3.7042999999999999</v>
      </c>
      <c r="E112" s="134"/>
      <c r="F112" s="130">
        <f>SUM(F99)</f>
        <v>45838</v>
      </c>
      <c r="G112" s="135">
        <v>31791.24</v>
      </c>
      <c r="H112" s="132">
        <f t="shared" si="8"/>
        <v>31791.24</v>
      </c>
      <c r="I112" s="132">
        <f t="shared" si="9"/>
        <v>31791.24</v>
      </c>
      <c r="J112" s="131" t="s">
        <v>129</v>
      </c>
      <c r="K112" s="131" t="s">
        <v>194</v>
      </c>
      <c r="L112" s="256"/>
      <c r="M112" s="256"/>
      <c r="N112" s="256"/>
      <c r="O112" s="29" t="s">
        <v>194</v>
      </c>
      <c r="P112" s="29" t="s">
        <v>194</v>
      </c>
      <c r="Q112" s="29" t="s">
        <v>194</v>
      </c>
      <c r="R112" s="29" t="s">
        <v>194</v>
      </c>
    </row>
    <row r="113" spans="1:18" s="20" customFormat="1" ht="11.25" customHeight="1" x14ac:dyDescent="0.2">
      <c r="A113" s="72"/>
      <c r="B113" s="77"/>
      <c r="C113" s="36" t="s">
        <v>33</v>
      </c>
      <c r="D113" s="153">
        <f>SUM(D7)</f>
        <v>3.7042999999999999</v>
      </c>
      <c r="E113" s="27"/>
      <c r="F113" s="25">
        <f>SUM(F99)</f>
        <v>45838</v>
      </c>
      <c r="G113" s="17">
        <v>220875.95</v>
      </c>
      <c r="H113" s="61">
        <f t="shared" si="8"/>
        <v>220875.95</v>
      </c>
      <c r="I113" s="61">
        <f t="shared" si="9"/>
        <v>220875.95</v>
      </c>
      <c r="J113" s="29">
        <v>1789.83</v>
      </c>
      <c r="K113" s="67">
        <f>SUM(J113+O113+P113+Q113)</f>
        <v>5705.67</v>
      </c>
      <c r="L113" s="256"/>
      <c r="M113" s="256"/>
      <c r="N113" s="256"/>
      <c r="O113" s="29">
        <v>1955.45</v>
      </c>
      <c r="P113" s="29">
        <v>1960.39</v>
      </c>
      <c r="Q113" s="29"/>
      <c r="R113" s="188"/>
    </row>
    <row r="114" spans="1:18" s="20" customFormat="1" ht="11.25" customHeight="1" x14ac:dyDescent="0.2">
      <c r="A114" s="72"/>
      <c r="B114" s="136"/>
      <c r="C114" s="128" t="s">
        <v>106</v>
      </c>
      <c r="D114" s="129">
        <f>SUM(D7)</f>
        <v>3.7042999999999999</v>
      </c>
      <c r="E114" s="134"/>
      <c r="F114" s="130">
        <f>SUM(F99)</f>
        <v>45838</v>
      </c>
      <c r="G114" s="135">
        <v>64033.2</v>
      </c>
      <c r="H114" s="132">
        <f t="shared" si="8"/>
        <v>64033.2</v>
      </c>
      <c r="I114" s="132">
        <f t="shared" si="9"/>
        <v>64033.2</v>
      </c>
      <c r="J114" s="131">
        <v>519.39</v>
      </c>
      <c r="K114" s="133">
        <f>SUM(J114+O114+P114+Q114)</f>
        <v>1564.01</v>
      </c>
      <c r="L114" s="256"/>
      <c r="M114" s="256"/>
      <c r="N114" s="256"/>
      <c r="O114" s="29">
        <v>522.15</v>
      </c>
      <c r="P114" s="29">
        <v>522.47</v>
      </c>
      <c r="Q114" s="29"/>
      <c r="R114" s="188"/>
    </row>
    <row r="115" spans="1:18" s="20" customFormat="1" ht="11.25" customHeight="1" x14ac:dyDescent="0.2">
      <c r="A115" s="72"/>
      <c r="B115" s="77"/>
      <c r="C115" s="36" t="s">
        <v>126</v>
      </c>
      <c r="D115" s="153">
        <f>SUM(D7)</f>
        <v>3.7042999999999999</v>
      </c>
      <c r="E115" s="73"/>
      <c r="F115" s="25">
        <f>SUM(F99)</f>
        <v>45838</v>
      </c>
      <c r="G115" s="93">
        <v>25744.38</v>
      </c>
      <c r="H115" s="61">
        <f t="shared" si="8"/>
        <v>25744.38</v>
      </c>
      <c r="I115" s="61">
        <f t="shared" si="9"/>
        <v>25744.38</v>
      </c>
      <c r="J115" s="29" t="s">
        <v>129</v>
      </c>
      <c r="K115" s="29" t="s">
        <v>194</v>
      </c>
      <c r="L115" s="257"/>
      <c r="M115" s="257"/>
      <c r="N115" s="257"/>
      <c r="O115" s="29" t="s">
        <v>194</v>
      </c>
      <c r="P115" s="29" t="s">
        <v>194</v>
      </c>
      <c r="Q115" s="29" t="s">
        <v>194</v>
      </c>
      <c r="R115" s="29" t="s">
        <v>194</v>
      </c>
    </row>
    <row r="116" spans="1:18" s="20" customFormat="1" ht="11.25" customHeight="1" x14ac:dyDescent="0.2">
      <c r="A116" s="38"/>
      <c r="B116" s="136"/>
      <c r="C116" s="128" t="s">
        <v>34</v>
      </c>
      <c r="D116" s="129">
        <f>SUM(D7)</f>
        <v>3.7042999999999999</v>
      </c>
      <c r="E116" s="134"/>
      <c r="F116" s="130">
        <f>SUM(F99)</f>
        <v>45838</v>
      </c>
      <c r="G116" s="135">
        <v>380854.42</v>
      </c>
      <c r="H116" s="132">
        <f t="shared" si="8"/>
        <v>380854.42</v>
      </c>
      <c r="I116" s="132">
        <f t="shared" si="9"/>
        <v>380854.42</v>
      </c>
      <c r="J116" s="131">
        <v>1762.36</v>
      </c>
      <c r="K116" s="133">
        <f t="shared" ref="K116:K122" si="10">SUM(J116+O116+P116+Q116)</f>
        <v>5705.21</v>
      </c>
      <c r="L116" s="256"/>
      <c r="M116" s="256"/>
      <c r="N116" s="256"/>
      <c r="O116" s="29">
        <v>2094.64</v>
      </c>
      <c r="P116" s="29">
        <v>1848.21</v>
      </c>
      <c r="Q116" s="29"/>
      <c r="R116" s="188"/>
    </row>
    <row r="117" spans="1:18" s="20" customFormat="1" ht="11.25" customHeight="1" x14ac:dyDescent="0.2">
      <c r="A117" s="38"/>
      <c r="B117" s="50"/>
      <c r="C117" s="71" t="s">
        <v>127</v>
      </c>
      <c r="D117" s="153">
        <f>SUM(D7)</f>
        <v>3.7042999999999999</v>
      </c>
      <c r="E117" s="73"/>
      <c r="F117" s="25">
        <f>SUM(F99)</f>
        <v>45838</v>
      </c>
      <c r="G117" s="93">
        <v>49089.67</v>
      </c>
      <c r="H117" s="61">
        <f t="shared" si="8"/>
        <v>49089.67</v>
      </c>
      <c r="I117" s="61">
        <f t="shared" si="9"/>
        <v>49089.67</v>
      </c>
      <c r="J117" s="29">
        <v>1167.49</v>
      </c>
      <c r="K117" s="68">
        <f t="shared" si="10"/>
        <v>3211.6400000000003</v>
      </c>
      <c r="L117" s="256"/>
      <c r="M117" s="256"/>
      <c r="N117" s="256"/>
      <c r="O117" s="29">
        <v>915.62</v>
      </c>
      <c r="P117" s="29">
        <v>1128.53</v>
      </c>
      <c r="Q117" s="29"/>
      <c r="R117" s="188"/>
    </row>
    <row r="118" spans="1:18" s="20" customFormat="1" ht="11.25" customHeight="1" x14ac:dyDescent="0.2">
      <c r="A118" s="38"/>
      <c r="B118" s="137"/>
      <c r="C118" s="128" t="s">
        <v>109</v>
      </c>
      <c r="D118" s="129">
        <f>SUM(D7)</f>
        <v>3.7042999999999999</v>
      </c>
      <c r="E118" s="134"/>
      <c r="F118" s="130">
        <f>SUM(F99)</f>
        <v>45838</v>
      </c>
      <c r="G118" s="135">
        <v>839538.11</v>
      </c>
      <c r="H118" s="132">
        <f t="shared" si="8"/>
        <v>839538.11</v>
      </c>
      <c r="I118" s="132">
        <f t="shared" si="9"/>
        <v>839538.11</v>
      </c>
      <c r="J118" s="131">
        <f>1469.15+3951.24+106.99</f>
        <v>5527.3799999999992</v>
      </c>
      <c r="K118" s="133">
        <f t="shared" si="10"/>
        <v>19267.919999999998</v>
      </c>
      <c r="L118" s="256"/>
      <c r="M118" s="256"/>
      <c r="N118" s="256"/>
      <c r="O118" s="29">
        <v>6801.93</v>
      </c>
      <c r="P118" s="29">
        <v>6938.61</v>
      </c>
      <c r="Q118" s="29"/>
      <c r="R118" s="188"/>
    </row>
    <row r="119" spans="1:18" s="20" customFormat="1" ht="11.25" customHeight="1" x14ac:dyDescent="0.2">
      <c r="A119" s="38"/>
      <c r="B119" s="70"/>
      <c r="C119" s="71" t="s">
        <v>35</v>
      </c>
      <c r="D119" s="153">
        <f>SUM(D7)</f>
        <v>3.7042999999999999</v>
      </c>
      <c r="E119" s="73"/>
      <c r="F119" s="25">
        <f>SUM(F99)</f>
        <v>45838</v>
      </c>
      <c r="G119" s="74">
        <v>406.83</v>
      </c>
      <c r="H119" s="61">
        <f t="shared" si="8"/>
        <v>406.83</v>
      </c>
      <c r="I119" s="61">
        <f t="shared" si="9"/>
        <v>406.83</v>
      </c>
      <c r="J119" s="29">
        <v>2.4500000000000002</v>
      </c>
      <c r="K119" s="68">
        <f t="shared" si="10"/>
        <v>11.67</v>
      </c>
      <c r="L119" s="256"/>
      <c r="M119" s="256"/>
      <c r="N119" s="256"/>
      <c r="O119" s="29">
        <v>5.08</v>
      </c>
      <c r="P119" s="29">
        <v>4.1399999999999997</v>
      </c>
      <c r="Q119" s="29"/>
      <c r="R119" s="188"/>
    </row>
    <row r="120" spans="1:18" s="20" customFormat="1" ht="11.25" customHeight="1" x14ac:dyDescent="0.2">
      <c r="A120" s="38"/>
      <c r="B120" s="136"/>
      <c r="C120" s="128" t="s">
        <v>195</v>
      </c>
      <c r="D120" s="129">
        <f>SUM(D7)</f>
        <v>3.7042999999999999</v>
      </c>
      <c r="E120" s="134"/>
      <c r="F120" s="130">
        <f>SUM(F111)</f>
        <v>45838</v>
      </c>
      <c r="G120" s="135">
        <v>5324.14</v>
      </c>
      <c r="H120" s="132">
        <f>SUM(G120)</f>
        <v>5324.14</v>
      </c>
      <c r="I120" s="132">
        <f>SUM(G120)</f>
        <v>5324.14</v>
      </c>
      <c r="J120" s="131" t="s">
        <v>129</v>
      </c>
      <c r="K120" s="131" t="s">
        <v>194</v>
      </c>
      <c r="L120" s="257"/>
      <c r="M120" s="257"/>
      <c r="N120" s="257"/>
      <c r="O120" s="29" t="s">
        <v>194</v>
      </c>
      <c r="P120" s="29" t="s">
        <v>194</v>
      </c>
      <c r="Q120" s="29" t="s">
        <v>194</v>
      </c>
      <c r="R120" s="29" t="s">
        <v>194</v>
      </c>
    </row>
    <row r="121" spans="1:18" s="20" customFormat="1" ht="11.25" customHeight="1" x14ac:dyDescent="0.2">
      <c r="A121" s="38"/>
      <c r="B121" s="252"/>
      <c r="C121" s="71" t="s">
        <v>36</v>
      </c>
      <c r="D121" s="153">
        <f>SUM(D7)</f>
        <v>3.7042999999999999</v>
      </c>
      <c r="E121" s="73"/>
      <c r="F121" s="156">
        <f>SUM(F99)</f>
        <v>45838</v>
      </c>
      <c r="G121" s="188">
        <v>210223.06</v>
      </c>
      <c r="H121" s="64">
        <f t="shared" si="8"/>
        <v>210223.06</v>
      </c>
      <c r="I121" s="64">
        <f t="shared" si="9"/>
        <v>210223.06</v>
      </c>
      <c r="J121" s="188">
        <v>1409.82</v>
      </c>
      <c r="K121" s="68">
        <f t="shared" si="10"/>
        <v>4525.49</v>
      </c>
      <c r="L121" s="256"/>
      <c r="M121" s="256"/>
      <c r="N121" s="256"/>
      <c r="O121" s="29">
        <v>1561.51</v>
      </c>
      <c r="P121" s="29">
        <v>1554.16</v>
      </c>
      <c r="Q121" s="29"/>
      <c r="R121" s="188"/>
    </row>
    <row r="122" spans="1:18" s="20" customFormat="1" ht="11.25" customHeight="1" x14ac:dyDescent="0.2">
      <c r="A122" s="38"/>
      <c r="B122" s="137"/>
      <c r="C122" s="128" t="s">
        <v>104</v>
      </c>
      <c r="D122" s="129">
        <f>SUM(D7)</f>
        <v>3.7042999999999999</v>
      </c>
      <c r="E122" s="134"/>
      <c r="F122" s="130">
        <f>SUM(F99)</f>
        <v>45838</v>
      </c>
      <c r="G122" s="135">
        <v>7331598.2000000002</v>
      </c>
      <c r="H122" s="132">
        <f t="shared" si="8"/>
        <v>7331598.2000000002</v>
      </c>
      <c r="I122" s="132">
        <f t="shared" si="9"/>
        <v>7331598.2000000002</v>
      </c>
      <c r="J122" s="131">
        <v>75888.259999999995</v>
      </c>
      <c r="K122" s="133">
        <f t="shared" si="10"/>
        <v>150883.82999999999</v>
      </c>
      <c r="L122" s="256"/>
      <c r="M122" s="256"/>
      <c r="N122" s="256"/>
      <c r="O122" s="29">
        <v>23031.56</v>
      </c>
      <c r="P122" s="29">
        <v>51964.01</v>
      </c>
      <c r="Q122" s="29"/>
      <c r="R122" s="188"/>
    </row>
    <row r="123" spans="1:18" s="20" customFormat="1" ht="11.25" customHeight="1" x14ac:dyDescent="0.2">
      <c r="A123" s="38"/>
      <c r="B123" s="252"/>
      <c r="C123" s="71" t="s">
        <v>76</v>
      </c>
      <c r="D123" s="153">
        <f>SUM(D7)</f>
        <v>3.7042999999999999</v>
      </c>
      <c r="E123" s="73"/>
      <c r="F123" s="156">
        <f>SUM(F99)</f>
        <v>45838</v>
      </c>
      <c r="G123" s="93">
        <v>9132.4500000000007</v>
      </c>
      <c r="H123" s="93">
        <f>SUM(G123)</f>
        <v>9132.4500000000007</v>
      </c>
      <c r="I123" s="93">
        <f>SUM(G123)</f>
        <v>9132.4500000000007</v>
      </c>
      <c r="J123" s="188" t="s">
        <v>129</v>
      </c>
      <c r="K123" s="188" t="s">
        <v>194</v>
      </c>
      <c r="L123" s="257"/>
      <c r="M123" s="257"/>
      <c r="N123" s="257"/>
      <c r="O123" s="29" t="s">
        <v>194</v>
      </c>
      <c r="P123" s="29" t="s">
        <v>194</v>
      </c>
      <c r="Q123" s="29" t="s">
        <v>194</v>
      </c>
      <c r="R123" s="29" t="s">
        <v>194</v>
      </c>
    </row>
    <row r="124" spans="1:18" s="20" customFormat="1" ht="11.25" customHeight="1" x14ac:dyDescent="0.2">
      <c r="A124" s="38"/>
      <c r="B124" s="137"/>
      <c r="C124" s="128" t="s">
        <v>70</v>
      </c>
      <c r="D124" s="129">
        <f>SUM(D7)</f>
        <v>3.7042999999999999</v>
      </c>
      <c r="E124" s="134"/>
      <c r="F124" s="130">
        <f>SUM(F99)</f>
        <v>45838</v>
      </c>
      <c r="G124" s="135">
        <v>434039.46</v>
      </c>
      <c r="H124" s="135">
        <f>SUM(G124)</f>
        <v>434039.46</v>
      </c>
      <c r="I124" s="135">
        <f>SUM(G124)</f>
        <v>434039.46</v>
      </c>
      <c r="J124" s="131" t="s">
        <v>129</v>
      </c>
      <c r="K124" s="131" t="s">
        <v>194</v>
      </c>
      <c r="L124" s="257"/>
      <c r="M124" s="257"/>
      <c r="N124" s="257"/>
      <c r="O124" s="29" t="s">
        <v>194</v>
      </c>
      <c r="P124" s="29" t="s">
        <v>194</v>
      </c>
      <c r="Q124" s="29" t="s">
        <v>194</v>
      </c>
      <c r="R124" s="29" t="s">
        <v>194</v>
      </c>
    </row>
    <row r="125" spans="1:18" ht="11.25" customHeight="1" x14ac:dyDescent="0.2">
      <c r="A125" s="38"/>
      <c r="B125" s="253"/>
      <c r="C125" s="71" t="s">
        <v>37</v>
      </c>
      <c r="D125" s="153">
        <f>SUM(D7)</f>
        <v>3.7042999999999999</v>
      </c>
      <c r="E125" s="73"/>
      <c r="F125" s="156">
        <f>SUM(F99)</f>
        <v>45838</v>
      </c>
      <c r="G125" s="93">
        <v>536366.68999999994</v>
      </c>
      <c r="H125" s="64">
        <f t="shared" ref="H125:H132" si="11">SUM(G125)</f>
        <v>536366.68999999994</v>
      </c>
      <c r="I125" s="64">
        <f t="shared" ref="I125:I132" si="12">SUM(G125)</f>
        <v>536366.68999999994</v>
      </c>
      <c r="J125" s="188" t="s">
        <v>129</v>
      </c>
      <c r="K125" s="188" t="s">
        <v>194</v>
      </c>
      <c r="L125" s="257"/>
      <c r="M125" s="257"/>
      <c r="N125" s="257"/>
      <c r="O125" s="29" t="s">
        <v>194</v>
      </c>
      <c r="P125" s="29" t="s">
        <v>194</v>
      </c>
      <c r="Q125" s="29" t="s">
        <v>194</v>
      </c>
      <c r="R125" s="29" t="s">
        <v>194</v>
      </c>
    </row>
    <row r="126" spans="1:18" ht="11.25" customHeight="1" x14ac:dyDescent="0.2">
      <c r="A126" s="38"/>
      <c r="B126" s="137"/>
      <c r="C126" s="128" t="s">
        <v>197</v>
      </c>
      <c r="D126" s="129">
        <f>SUM(D7)</f>
        <v>3.7042999999999999</v>
      </c>
      <c r="E126" s="134"/>
      <c r="F126" s="130">
        <f>SUM(F99)</f>
        <v>45838</v>
      </c>
      <c r="G126" s="135">
        <v>340881.28</v>
      </c>
      <c r="H126" s="132">
        <f t="shared" si="11"/>
        <v>340881.28</v>
      </c>
      <c r="I126" s="132">
        <f t="shared" si="12"/>
        <v>340881.28</v>
      </c>
      <c r="J126" s="131">
        <v>2271.52</v>
      </c>
      <c r="K126" s="133">
        <f>SUM(J126+O126+P126+Q126)</f>
        <v>5803.58</v>
      </c>
      <c r="L126" s="256"/>
      <c r="M126" s="256"/>
      <c r="N126" s="256"/>
      <c r="O126" s="29">
        <v>1223.3</v>
      </c>
      <c r="P126" s="29">
        <v>2308.7600000000002</v>
      </c>
      <c r="Q126" s="29"/>
      <c r="R126" s="188"/>
    </row>
    <row r="127" spans="1:18" ht="11.25" customHeight="1" x14ac:dyDescent="0.2">
      <c r="A127" s="38"/>
      <c r="B127" s="252"/>
      <c r="C127" s="71" t="s">
        <v>38</v>
      </c>
      <c r="D127" s="153">
        <f>SUM(D7)</f>
        <v>3.7042999999999999</v>
      </c>
      <c r="E127" s="73"/>
      <c r="F127" s="156">
        <f>SUM(F99)</f>
        <v>45838</v>
      </c>
      <c r="G127" s="93">
        <v>227147.86</v>
      </c>
      <c r="H127" s="64">
        <f t="shared" si="11"/>
        <v>227147.86</v>
      </c>
      <c r="I127" s="64">
        <f t="shared" si="12"/>
        <v>227147.86</v>
      </c>
      <c r="J127" s="188" t="s">
        <v>129</v>
      </c>
      <c r="K127" s="188" t="s">
        <v>194</v>
      </c>
      <c r="L127" s="257"/>
      <c r="M127" s="257"/>
      <c r="N127" s="257"/>
      <c r="O127" s="29" t="s">
        <v>194</v>
      </c>
      <c r="P127" s="29" t="s">
        <v>194</v>
      </c>
      <c r="Q127" s="29" t="s">
        <v>194</v>
      </c>
      <c r="R127" s="29" t="s">
        <v>194</v>
      </c>
    </row>
    <row r="128" spans="1:18" ht="11.25" customHeight="1" x14ac:dyDescent="0.2">
      <c r="A128" s="38"/>
      <c r="B128" s="254"/>
      <c r="C128" s="128" t="s">
        <v>39</v>
      </c>
      <c r="D128" s="129">
        <f>SUM(D7)</f>
        <v>3.7042999999999999</v>
      </c>
      <c r="E128" s="134"/>
      <c r="F128" s="130">
        <f>SUM(F99)</f>
        <v>45838</v>
      </c>
      <c r="G128" s="135">
        <v>42010.23</v>
      </c>
      <c r="H128" s="132">
        <f t="shared" si="11"/>
        <v>42010.23</v>
      </c>
      <c r="I128" s="132">
        <f t="shared" si="12"/>
        <v>42010.23</v>
      </c>
      <c r="J128" s="131">
        <v>280.76</v>
      </c>
      <c r="K128" s="133">
        <f>SUM(J128+O128+P128+Q128)</f>
        <v>845.45</v>
      </c>
      <c r="L128" s="256"/>
      <c r="M128" s="256"/>
      <c r="N128" s="256"/>
      <c r="O128" s="29">
        <v>282.26</v>
      </c>
      <c r="P128" s="29">
        <v>282.43</v>
      </c>
      <c r="Q128" s="29"/>
      <c r="R128" s="188"/>
    </row>
    <row r="129" spans="1:20" ht="11.25" customHeight="1" x14ac:dyDescent="0.2">
      <c r="A129" s="38"/>
      <c r="B129" s="252"/>
      <c r="C129" s="71" t="s">
        <v>40</v>
      </c>
      <c r="D129" s="153">
        <f>SUM(D7)</f>
        <v>3.7042999999999999</v>
      </c>
      <c r="E129" s="73"/>
      <c r="F129" s="156">
        <f>SUM(F99)</f>
        <v>45838</v>
      </c>
      <c r="G129" s="93">
        <v>374354.24</v>
      </c>
      <c r="H129" s="64">
        <f t="shared" si="11"/>
        <v>374354.24</v>
      </c>
      <c r="I129" s="64">
        <f t="shared" si="12"/>
        <v>374354.24</v>
      </c>
      <c r="J129" s="188">
        <v>3409.82</v>
      </c>
      <c r="K129" s="68">
        <f>SUM(J129+O129+P129+Q129)</f>
        <v>10506.82</v>
      </c>
      <c r="L129" s="256"/>
      <c r="M129" s="256"/>
      <c r="N129" s="256"/>
      <c r="O129" s="29">
        <v>3733.59</v>
      </c>
      <c r="P129" s="29">
        <v>3363.41</v>
      </c>
      <c r="Q129" s="29"/>
      <c r="R129" s="188"/>
    </row>
    <row r="130" spans="1:20" ht="11.25" customHeight="1" x14ac:dyDescent="0.2">
      <c r="A130" s="72"/>
      <c r="B130" s="137"/>
      <c r="C130" s="128" t="s">
        <v>41</v>
      </c>
      <c r="D130" s="129">
        <f>SUM(D7)</f>
        <v>3.7042999999999999</v>
      </c>
      <c r="E130" s="134"/>
      <c r="F130" s="130">
        <f>SUM(F99)</f>
        <v>45838</v>
      </c>
      <c r="G130" s="135">
        <v>7648.87</v>
      </c>
      <c r="H130" s="132">
        <f t="shared" si="11"/>
        <v>7648.87</v>
      </c>
      <c r="I130" s="132">
        <f t="shared" si="12"/>
        <v>7648.87</v>
      </c>
      <c r="J130" s="131" t="s">
        <v>129</v>
      </c>
      <c r="K130" s="131" t="s">
        <v>194</v>
      </c>
      <c r="L130" s="257"/>
      <c r="M130" s="257"/>
      <c r="N130" s="257"/>
      <c r="O130" s="29" t="s">
        <v>194</v>
      </c>
      <c r="P130" s="29" t="s">
        <v>194</v>
      </c>
      <c r="Q130" s="29" t="s">
        <v>194</v>
      </c>
      <c r="R130" s="29" t="s">
        <v>194</v>
      </c>
    </row>
    <row r="131" spans="1:20" ht="11.25" customHeight="1" x14ac:dyDescent="0.2">
      <c r="A131" s="38"/>
      <c r="B131" s="252"/>
      <c r="C131" s="71" t="s">
        <v>42</v>
      </c>
      <c r="D131" s="153">
        <f>SUM(D7)</f>
        <v>3.7042999999999999</v>
      </c>
      <c r="E131" s="73"/>
      <c r="F131" s="156">
        <f>SUM(F99)</f>
        <v>45838</v>
      </c>
      <c r="G131" s="93">
        <v>724384.79</v>
      </c>
      <c r="H131" s="64">
        <f t="shared" si="11"/>
        <v>724384.79</v>
      </c>
      <c r="I131" s="64">
        <f t="shared" si="12"/>
        <v>724384.79</v>
      </c>
      <c r="J131" s="188">
        <v>4454.51</v>
      </c>
      <c r="K131" s="68">
        <f>SUM(J131+O131+P131+Q131)</f>
        <v>21734.71</v>
      </c>
      <c r="L131" s="256"/>
      <c r="M131" s="256"/>
      <c r="N131" s="256"/>
      <c r="O131" s="29">
        <v>12463.91</v>
      </c>
      <c r="P131" s="29">
        <v>4816.29</v>
      </c>
      <c r="Q131" s="29"/>
      <c r="R131" s="188"/>
    </row>
    <row r="132" spans="1:20" s="24" customFormat="1" ht="11.25" customHeight="1" x14ac:dyDescent="0.2">
      <c r="A132" s="72"/>
      <c r="B132" s="137"/>
      <c r="C132" s="128" t="s">
        <v>196</v>
      </c>
      <c r="D132" s="129">
        <f>SUM(D7)</f>
        <v>3.7042999999999999</v>
      </c>
      <c r="E132" s="134"/>
      <c r="F132" s="130">
        <f>SUM(F99)</f>
        <v>45838</v>
      </c>
      <c r="G132" s="135">
        <v>151104.82999999999</v>
      </c>
      <c r="H132" s="132">
        <f t="shared" si="11"/>
        <v>151104.82999999999</v>
      </c>
      <c r="I132" s="132">
        <f t="shared" si="12"/>
        <v>151104.82999999999</v>
      </c>
      <c r="J132" s="255">
        <v>1376.71</v>
      </c>
      <c r="K132" s="133">
        <f>SUM(J132+O132+P132+Q132)</f>
        <v>4101.41</v>
      </c>
      <c r="L132" s="256"/>
      <c r="M132" s="256"/>
      <c r="N132" s="256"/>
      <c r="O132" s="81">
        <v>1359.28</v>
      </c>
      <c r="P132" s="81">
        <v>1365.42</v>
      </c>
      <c r="Q132" s="81"/>
      <c r="R132" s="189"/>
    </row>
    <row r="133" spans="1:20" s="24" customFormat="1" ht="12" x14ac:dyDescent="0.2">
      <c r="A133" s="38"/>
      <c r="B133" s="70"/>
      <c r="C133" s="75"/>
      <c r="D133" s="112"/>
      <c r="F133" s="247" t="s">
        <v>193</v>
      </c>
      <c r="G133" s="248">
        <f>SUM(G99:G132)</f>
        <v>17508152.229999997</v>
      </c>
      <c r="H133" s="248">
        <f>SUM(H99:H132)</f>
        <v>17508152.229999997</v>
      </c>
      <c r="I133" s="248">
        <f>SUM(I99:I132)</f>
        <v>17508152.229999997</v>
      </c>
      <c r="J133" s="248">
        <f>SUM(J99:J132)</f>
        <v>111050.41</v>
      </c>
      <c r="K133" s="249">
        <f>SUM(J133+O133+P133+Q133)</f>
        <v>289876.02</v>
      </c>
      <c r="L133" s="258"/>
      <c r="M133" s="258"/>
      <c r="N133" s="258"/>
      <c r="O133" s="250">
        <f>SUM(O99:O132)</f>
        <v>78925.670000000013</v>
      </c>
      <c r="P133" s="250">
        <f>SUM(P99:P132)</f>
        <v>99899.939999999988</v>
      </c>
      <c r="Q133" s="250">
        <f>SUM(Q99:Q132)</f>
        <v>0</v>
      </c>
      <c r="R133" s="250">
        <f>SUM(R99:R132)</f>
        <v>0</v>
      </c>
    </row>
    <row r="134" spans="1:20" s="24" customFormat="1" x14ac:dyDescent="0.2">
      <c r="A134" s="38"/>
      <c r="B134" s="70"/>
      <c r="C134" s="75"/>
      <c r="D134" s="112"/>
      <c r="F134" s="28"/>
      <c r="G134" s="17"/>
      <c r="H134" s="17"/>
      <c r="I134" s="17"/>
      <c r="J134" s="17"/>
      <c r="K134" s="108"/>
      <c r="L134" s="173"/>
      <c r="M134" s="173"/>
      <c r="N134" s="173"/>
      <c r="O134" s="29"/>
      <c r="P134" s="29"/>
      <c r="Q134" s="29"/>
    </row>
    <row r="135" spans="1:20" s="24" customFormat="1" x14ac:dyDescent="0.2">
      <c r="A135" s="40" t="s">
        <v>159</v>
      </c>
      <c r="B135" s="96"/>
      <c r="C135" s="54"/>
      <c r="D135" s="109"/>
      <c r="E135" s="20"/>
      <c r="F135" s="35"/>
      <c r="G135" s="52">
        <f>SUM(G133,G39:G94)</f>
        <v>101972376.93000001</v>
      </c>
      <c r="H135" s="52">
        <f>SUM(H133,H39:H94)</f>
        <v>101928740.68000001</v>
      </c>
      <c r="I135" s="52">
        <f>SUM(I133,I39:I94)</f>
        <v>101961143.23</v>
      </c>
      <c r="J135" s="52">
        <f>SUM(J133,J39:J94)</f>
        <v>930792.2300000001</v>
      </c>
      <c r="K135" s="97">
        <f>SUM(J135+O135+P135+Q135)</f>
        <v>2684039.69</v>
      </c>
      <c r="L135" s="174"/>
      <c r="M135" s="174"/>
      <c r="N135" s="174"/>
      <c r="O135" s="52">
        <f>SUM(O133,O39:O94)</f>
        <v>755842.21999999986</v>
      </c>
      <c r="P135" s="52">
        <f>SUM(P133,P39:P94)</f>
        <v>997405.24</v>
      </c>
      <c r="Q135" s="52">
        <f>SUM(Q133,Q39:Q94)</f>
        <v>0</v>
      </c>
      <c r="R135" s="52">
        <f>SUM(R133,R39:R94)</f>
        <v>0</v>
      </c>
      <c r="T135" s="238" t="s">
        <v>0</v>
      </c>
    </row>
    <row r="139" spans="1:20" x14ac:dyDescent="0.2">
      <c r="J139" s="69" t="s">
        <v>0</v>
      </c>
    </row>
    <row r="140" spans="1:20" x14ac:dyDescent="0.2">
      <c r="J140" s="69" t="s">
        <v>0</v>
      </c>
    </row>
    <row r="146" spans="7:7" x14ac:dyDescent="0.2">
      <c r="G146" s="69" t="s">
        <v>0</v>
      </c>
    </row>
  </sheetData>
  <mergeCells count="4">
    <mergeCell ref="M4:M6"/>
    <mergeCell ref="N5:N6"/>
    <mergeCell ref="A1:N1"/>
    <mergeCell ref="L4:L6"/>
  </mergeCells>
  <phoneticPr fontId="5" type="noConversion"/>
  <pageMargins left="0.5" right="0.25" top="0.5" bottom="0.25" header="0" footer="0"/>
  <pageSetup paperSize="5" scale="89" firstPageNumber="2" fitToHeight="0" orientation="landscape" useFirstPageNumber="1" r:id="rId1"/>
  <headerFooter alignWithMargins="0">
    <oddFooter>&amp;C&amp;P</oddFooter>
  </headerFooter>
  <ignoredErrors>
    <ignoredError sqref="K133 K1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9"/>
  <sheetViews>
    <sheetView zoomScaleNormal="100" workbookViewId="0"/>
  </sheetViews>
  <sheetFormatPr defaultColWidth="9.140625" defaultRowHeight="12.75" outlineLevelRow="1" x14ac:dyDescent="0.2"/>
  <cols>
    <col min="1" max="1" width="23.7109375" customWidth="1"/>
    <col min="2" max="2" width="20.42578125" bestFit="1" customWidth="1"/>
    <col min="3" max="3" width="11.5703125" style="213" customWidth="1"/>
    <col min="4" max="4" width="11.5703125" style="19" customWidth="1"/>
    <col min="5" max="5" width="1.42578125" customWidth="1"/>
    <col min="6" max="6" width="16.85546875" style="3" bestFit="1" customWidth="1"/>
    <col min="7" max="7" width="9.5703125" style="3" bestFit="1" customWidth="1"/>
    <col min="8" max="8" width="17.5703125" style="3" customWidth="1"/>
    <col min="9" max="9" width="1.5703125" style="10" customWidth="1"/>
    <col min="10" max="10" width="16.85546875" style="3" bestFit="1" customWidth="1"/>
    <col min="11" max="11" width="9.5703125" style="3" bestFit="1" customWidth="1"/>
    <col min="12" max="12" width="17.5703125" style="3" customWidth="1"/>
    <col min="13" max="13" width="1.42578125" style="3" customWidth="1"/>
    <col min="14" max="14" width="16.28515625" style="203" customWidth="1"/>
    <col min="15" max="15" width="1.7109375" customWidth="1"/>
    <col min="16" max="16" width="20" style="236" customWidth="1"/>
  </cols>
  <sheetData>
    <row r="1" spans="1:16" x14ac:dyDescent="0.2">
      <c r="A1" s="56"/>
      <c r="B1" s="199"/>
      <c r="C1" s="199"/>
      <c r="D1" s="200"/>
      <c r="E1" s="200"/>
      <c r="F1" s="155"/>
      <c r="G1" s="155"/>
      <c r="H1" s="155"/>
      <c r="I1" s="200"/>
      <c r="J1" s="155"/>
      <c r="K1" s="155"/>
      <c r="L1" s="155"/>
      <c r="M1" s="200"/>
      <c r="O1" s="200"/>
    </row>
    <row r="2" spans="1:16" s="37" customFormat="1" x14ac:dyDescent="0.2">
      <c r="A2" s="168"/>
      <c r="B2" s="204"/>
      <c r="C2" s="168"/>
      <c r="D2" s="205"/>
      <c r="E2" s="265"/>
      <c r="F2" s="97"/>
      <c r="G2" s="167">
        <v>45747</v>
      </c>
      <c r="H2" s="97"/>
      <c r="I2" s="206"/>
      <c r="J2" s="97"/>
      <c r="K2" s="167">
        <v>45838</v>
      </c>
      <c r="L2" s="97"/>
      <c r="M2" s="206"/>
      <c r="N2" s="107"/>
      <c r="O2" s="162"/>
      <c r="P2" s="332" t="s">
        <v>223</v>
      </c>
    </row>
    <row r="3" spans="1:16" s="37" customFormat="1" x14ac:dyDescent="0.2">
      <c r="A3" s="168" t="s">
        <v>43</v>
      </c>
      <c r="B3" s="54" t="s">
        <v>17</v>
      </c>
      <c r="C3" s="168" t="s">
        <v>18</v>
      </c>
      <c r="D3" s="205" t="s">
        <v>44</v>
      </c>
      <c r="E3" s="265"/>
      <c r="F3" s="97" t="s">
        <v>45</v>
      </c>
      <c r="G3" s="100" t="s">
        <v>46</v>
      </c>
      <c r="H3" s="97"/>
      <c r="I3" s="206"/>
      <c r="J3" s="97" t="s">
        <v>45</v>
      </c>
      <c r="K3" s="100" t="s">
        <v>46</v>
      </c>
      <c r="L3" s="97"/>
      <c r="M3" s="206"/>
      <c r="N3" s="107" t="s">
        <v>47</v>
      </c>
      <c r="O3" s="162"/>
      <c r="P3" s="332"/>
    </row>
    <row r="4" spans="1:16" s="37" customFormat="1" x14ac:dyDescent="0.2">
      <c r="A4" s="168"/>
      <c r="B4" s="54" t="s">
        <v>23</v>
      </c>
      <c r="C4" s="168" t="s">
        <v>24</v>
      </c>
      <c r="D4" s="205" t="s">
        <v>48</v>
      </c>
      <c r="E4" s="265"/>
      <c r="F4" s="97" t="s">
        <v>49</v>
      </c>
      <c r="G4" s="100" t="s">
        <v>50</v>
      </c>
      <c r="H4" s="97" t="s">
        <v>51</v>
      </c>
      <c r="I4" s="206"/>
      <c r="J4" s="97" t="s">
        <v>49</v>
      </c>
      <c r="K4" s="100" t="s">
        <v>50</v>
      </c>
      <c r="L4" s="97" t="s">
        <v>51</v>
      </c>
      <c r="M4" s="206"/>
      <c r="N4" s="107" t="s">
        <v>15</v>
      </c>
      <c r="O4" s="162"/>
      <c r="P4" s="332"/>
    </row>
    <row r="5" spans="1:16" s="37" customFormat="1" ht="13.5" thickBot="1" x14ac:dyDescent="0.25">
      <c r="A5" s="207"/>
      <c r="B5" s="208"/>
      <c r="C5" s="207"/>
      <c r="D5" s="209"/>
      <c r="E5" s="266"/>
      <c r="F5" s="210"/>
      <c r="G5" s="211"/>
      <c r="H5" s="210"/>
      <c r="I5" s="210"/>
      <c r="J5" s="210"/>
      <c r="K5" s="211"/>
      <c r="L5" s="210"/>
      <c r="M5" s="210"/>
      <c r="N5" s="212"/>
      <c r="O5" s="166"/>
      <c r="P5" s="333"/>
    </row>
    <row r="6" spans="1:16" outlineLevel="1" x14ac:dyDescent="0.2">
      <c r="A6" t="s">
        <v>27</v>
      </c>
      <c r="B6" s="56" t="s">
        <v>97</v>
      </c>
      <c r="C6" s="199"/>
      <c r="D6" s="156">
        <v>45838</v>
      </c>
      <c r="E6" s="267"/>
      <c r="F6" s="155">
        <v>13642896.029999999</v>
      </c>
      <c r="G6" s="224">
        <f>+H6/F6</f>
        <v>1</v>
      </c>
      <c r="H6" s="155">
        <f t="shared" ref="H6:H12" si="0">SUM(F6)</f>
        <v>13642896.029999999</v>
      </c>
      <c r="I6" s="201" t="s">
        <v>53</v>
      </c>
      <c r="J6" s="155">
        <v>1447886.45</v>
      </c>
      <c r="K6" s="224">
        <f>+L6/J6</f>
        <v>1</v>
      </c>
      <c r="L6" s="155">
        <f t="shared" ref="L6:L12" si="1">SUM(J6)</f>
        <v>1447886.45</v>
      </c>
      <c r="M6" s="202"/>
      <c r="N6" s="215"/>
      <c r="O6" s="216"/>
      <c r="P6" s="217"/>
    </row>
    <row r="7" spans="1:16" outlineLevel="1" x14ac:dyDescent="0.2">
      <c r="B7" s="270" t="s">
        <v>52</v>
      </c>
      <c r="C7" s="271"/>
      <c r="D7" s="272">
        <v>45838</v>
      </c>
      <c r="E7" s="267"/>
      <c r="F7" s="275">
        <v>800</v>
      </c>
      <c r="G7" s="274">
        <f t="shared" ref="G7:G11" si="2">+H7/F7</f>
        <v>1</v>
      </c>
      <c r="H7" s="275">
        <f t="shared" si="0"/>
        <v>800</v>
      </c>
      <c r="I7" s="201"/>
      <c r="J7" s="275">
        <v>800</v>
      </c>
      <c r="K7" s="274">
        <f t="shared" ref="K7:K43" si="3">+L7/J7</f>
        <v>1</v>
      </c>
      <c r="L7" s="275">
        <f t="shared" si="1"/>
        <v>800</v>
      </c>
      <c r="M7" s="202"/>
      <c r="N7" s="215"/>
      <c r="O7" s="216"/>
      <c r="P7" s="217"/>
    </row>
    <row r="8" spans="1:16" outlineLevel="1" x14ac:dyDescent="0.2">
      <c r="B8" s="56" t="s">
        <v>92</v>
      </c>
      <c r="C8" s="199"/>
      <c r="D8" s="156">
        <v>45838</v>
      </c>
      <c r="E8" s="267"/>
      <c r="F8" s="155">
        <v>15500000</v>
      </c>
      <c r="G8" s="224">
        <f t="shared" si="2"/>
        <v>1</v>
      </c>
      <c r="H8" s="155">
        <f t="shared" si="0"/>
        <v>15500000</v>
      </c>
      <c r="I8" s="201" t="s">
        <v>53</v>
      </c>
      <c r="J8" s="155">
        <v>13000000</v>
      </c>
      <c r="K8" s="224">
        <f t="shared" si="3"/>
        <v>1</v>
      </c>
      <c r="L8" s="155">
        <f t="shared" si="1"/>
        <v>13000000</v>
      </c>
      <c r="M8" s="202"/>
      <c r="N8" s="215"/>
      <c r="O8" s="216"/>
      <c r="P8" s="217"/>
    </row>
    <row r="9" spans="1:16" outlineLevel="1" x14ac:dyDescent="0.2">
      <c r="B9" s="270" t="s">
        <v>137</v>
      </c>
      <c r="C9" s="271"/>
      <c r="D9" s="272">
        <v>45838</v>
      </c>
      <c r="E9" s="267"/>
      <c r="F9" s="275">
        <v>16009.24</v>
      </c>
      <c r="G9" s="274">
        <f t="shared" si="2"/>
        <v>1</v>
      </c>
      <c r="H9" s="275">
        <f t="shared" si="0"/>
        <v>16009.24</v>
      </c>
      <c r="I9" s="201" t="s">
        <v>53</v>
      </c>
      <c r="J9" s="275">
        <v>16182.09</v>
      </c>
      <c r="K9" s="274">
        <f t="shared" si="3"/>
        <v>1</v>
      </c>
      <c r="L9" s="275">
        <f t="shared" si="1"/>
        <v>16182.09</v>
      </c>
      <c r="M9" s="202"/>
      <c r="N9" s="215"/>
      <c r="O9" s="216"/>
      <c r="P9" s="217"/>
    </row>
    <row r="10" spans="1:16" outlineLevel="1" x14ac:dyDescent="0.2">
      <c r="B10" s="56" t="s">
        <v>181</v>
      </c>
      <c r="C10" s="199"/>
      <c r="D10" s="156">
        <v>45838</v>
      </c>
      <c r="E10" s="267"/>
      <c r="F10" s="155">
        <v>24280.48</v>
      </c>
      <c r="G10" s="224">
        <f t="shared" si="2"/>
        <v>1</v>
      </c>
      <c r="H10" s="155">
        <f t="shared" si="0"/>
        <v>24280.48</v>
      </c>
      <c r="I10" s="201" t="s">
        <v>53</v>
      </c>
      <c r="J10" s="155">
        <v>24549.599999999999</v>
      </c>
      <c r="K10" s="224">
        <f t="shared" si="3"/>
        <v>1</v>
      </c>
      <c r="L10" s="155">
        <f t="shared" si="1"/>
        <v>24549.599999999999</v>
      </c>
      <c r="M10" s="202"/>
      <c r="N10" s="215"/>
      <c r="O10" s="216"/>
      <c r="P10" s="217"/>
    </row>
    <row r="11" spans="1:16" outlineLevel="1" x14ac:dyDescent="0.2">
      <c r="B11" s="270" t="s">
        <v>171</v>
      </c>
      <c r="C11" s="271"/>
      <c r="D11" s="272">
        <v>45838</v>
      </c>
      <c r="E11" s="267"/>
      <c r="F11" s="273">
        <v>15420804.859999999</v>
      </c>
      <c r="G11" s="274">
        <f t="shared" si="2"/>
        <v>1</v>
      </c>
      <c r="H11" s="275">
        <f t="shared" si="0"/>
        <v>15420804.859999999</v>
      </c>
      <c r="I11" s="201" t="s">
        <v>53</v>
      </c>
      <c r="J11" s="273">
        <v>13085441.189999999</v>
      </c>
      <c r="K11" s="274">
        <f t="shared" si="3"/>
        <v>1</v>
      </c>
      <c r="L11" s="275">
        <f t="shared" si="1"/>
        <v>13085441.189999999</v>
      </c>
      <c r="M11" s="202"/>
      <c r="N11" s="215"/>
      <c r="O11" s="216"/>
      <c r="P11" s="217"/>
    </row>
    <row r="12" spans="1:16" outlineLevel="1" x14ac:dyDescent="0.2">
      <c r="B12" s="56" t="s">
        <v>142</v>
      </c>
      <c r="C12" s="199"/>
      <c r="D12" s="156">
        <v>45916</v>
      </c>
      <c r="E12" s="267"/>
      <c r="F12" s="155">
        <v>10356673.970000001</v>
      </c>
      <c r="G12" s="224">
        <v>1</v>
      </c>
      <c r="H12" s="155">
        <f t="shared" si="0"/>
        <v>10356673.970000001</v>
      </c>
      <c r="I12" s="201" t="s">
        <v>53</v>
      </c>
      <c r="J12" s="155">
        <v>10356673.970000001</v>
      </c>
      <c r="K12" s="224">
        <f t="shared" si="3"/>
        <v>1</v>
      </c>
      <c r="L12" s="155">
        <f t="shared" si="1"/>
        <v>10356673.970000001</v>
      </c>
      <c r="M12" s="202"/>
      <c r="N12" s="215"/>
      <c r="O12" s="216"/>
      <c r="P12" s="217"/>
    </row>
    <row r="13" spans="1:16" outlineLevel="1" x14ac:dyDescent="0.2">
      <c r="B13" s="270" t="s">
        <v>116</v>
      </c>
      <c r="C13" s="271"/>
      <c r="D13" s="272">
        <v>45838</v>
      </c>
      <c r="E13" s="267"/>
      <c r="F13" s="273">
        <v>0</v>
      </c>
      <c r="G13" s="274">
        <v>0</v>
      </c>
      <c r="H13" s="275">
        <f>SUM(F13)</f>
        <v>0</v>
      </c>
      <c r="I13" s="201" t="s">
        <v>0</v>
      </c>
      <c r="J13" s="273">
        <v>0</v>
      </c>
      <c r="K13" s="274">
        <v>0</v>
      </c>
      <c r="L13" s="275">
        <v>0</v>
      </c>
      <c r="M13" s="202"/>
      <c r="N13" s="215"/>
      <c r="O13" s="216"/>
      <c r="P13" s="217"/>
    </row>
    <row r="14" spans="1:16" outlineLevel="1" x14ac:dyDescent="0.2">
      <c r="B14" s="218" t="s">
        <v>150</v>
      </c>
      <c r="C14" s="219" t="s">
        <v>151</v>
      </c>
      <c r="D14" s="220">
        <v>45852</v>
      </c>
      <c r="E14" s="267"/>
      <c r="F14" s="221">
        <v>243000</v>
      </c>
      <c r="G14" s="222">
        <v>0</v>
      </c>
      <c r="H14" s="221">
        <v>243473.85</v>
      </c>
      <c r="I14" s="206" t="s">
        <v>0</v>
      </c>
      <c r="J14" s="221">
        <v>243000</v>
      </c>
      <c r="K14" s="222">
        <f t="shared" ref="K14:K29" si="4">+L14/J14</f>
        <v>1.0001</v>
      </c>
      <c r="L14" s="221">
        <v>243024.3</v>
      </c>
      <c r="M14" s="202"/>
      <c r="N14" s="215"/>
      <c r="O14" s="216"/>
      <c r="P14" s="217"/>
    </row>
    <row r="15" spans="1:16" outlineLevel="1" x14ac:dyDescent="0.2">
      <c r="B15" s="56" t="s">
        <v>114</v>
      </c>
      <c r="C15" s="199" t="s">
        <v>146</v>
      </c>
      <c r="D15" s="156">
        <v>45884</v>
      </c>
      <c r="E15" s="267"/>
      <c r="F15" s="158">
        <v>998000</v>
      </c>
      <c r="G15" s="224">
        <f>+H15/F15</f>
        <v>0.99570999999999998</v>
      </c>
      <c r="H15" s="158">
        <v>993718.58</v>
      </c>
      <c r="I15" s="206" t="s">
        <v>0</v>
      </c>
      <c r="J15" s="158">
        <v>998000</v>
      </c>
      <c r="K15" s="224">
        <f t="shared" si="4"/>
        <v>0.99830000000000008</v>
      </c>
      <c r="L15" s="158">
        <v>996303.4</v>
      </c>
      <c r="M15" s="202"/>
      <c r="N15" s="215"/>
      <c r="O15" s="216"/>
      <c r="P15" s="217"/>
    </row>
    <row r="16" spans="1:16" outlineLevel="1" x14ac:dyDescent="0.2">
      <c r="B16" s="218" t="s">
        <v>169</v>
      </c>
      <c r="C16" s="219" t="s">
        <v>164</v>
      </c>
      <c r="D16" s="220">
        <v>45890</v>
      </c>
      <c r="E16" s="267"/>
      <c r="F16" s="225">
        <v>244000</v>
      </c>
      <c r="G16" s="222">
        <f>+H16/F16</f>
        <v>1.00217</v>
      </c>
      <c r="H16" s="225">
        <v>244529.48</v>
      </c>
      <c r="I16" s="206" t="s">
        <v>0</v>
      </c>
      <c r="J16" s="225">
        <v>244000</v>
      </c>
      <c r="K16" s="222">
        <f t="shared" si="4"/>
        <v>1.00048</v>
      </c>
      <c r="L16" s="225">
        <v>244117.12</v>
      </c>
      <c r="M16" s="202"/>
      <c r="N16" s="215"/>
      <c r="O16" s="216"/>
      <c r="P16" s="217"/>
    </row>
    <row r="17" spans="1:16" outlineLevel="1" x14ac:dyDescent="0.2">
      <c r="B17" s="56" t="s">
        <v>153</v>
      </c>
      <c r="C17" s="199" t="s">
        <v>147</v>
      </c>
      <c r="D17" s="156">
        <v>45894</v>
      </c>
      <c r="E17" s="267"/>
      <c r="F17" s="158">
        <v>243000</v>
      </c>
      <c r="G17" s="224">
        <f>+H17/F17</f>
        <v>1.00319</v>
      </c>
      <c r="H17" s="158">
        <v>243775.17</v>
      </c>
      <c r="I17" s="206" t="s">
        <v>0</v>
      </c>
      <c r="J17" s="158">
        <v>243000</v>
      </c>
      <c r="K17" s="224">
        <f t="shared" si="4"/>
        <v>1.0009699999999999</v>
      </c>
      <c r="L17" s="158">
        <v>243235.71</v>
      </c>
      <c r="M17" s="202"/>
      <c r="N17" s="215"/>
      <c r="O17" s="216"/>
      <c r="P17" s="217"/>
    </row>
    <row r="18" spans="1:16" outlineLevel="1" x14ac:dyDescent="0.2">
      <c r="B18" s="218" t="s">
        <v>148</v>
      </c>
      <c r="C18" s="219" t="s">
        <v>149</v>
      </c>
      <c r="D18" s="220">
        <v>45894</v>
      </c>
      <c r="E18" s="267"/>
      <c r="F18" s="225">
        <v>243000</v>
      </c>
      <c r="G18" s="222">
        <f>+H18/F18</f>
        <v>1.00285</v>
      </c>
      <c r="H18" s="225">
        <v>243692.55</v>
      </c>
      <c r="I18" s="206" t="s">
        <v>0</v>
      </c>
      <c r="J18" s="225">
        <v>243000</v>
      </c>
      <c r="K18" s="222">
        <f t="shared" si="4"/>
        <v>1.00075</v>
      </c>
      <c r="L18" s="225">
        <v>243182.25</v>
      </c>
      <c r="M18" s="202"/>
      <c r="N18" s="215"/>
      <c r="O18" s="216"/>
      <c r="P18" s="217"/>
    </row>
    <row r="19" spans="1:16" outlineLevel="1" x14ac:dyDescent="0.2">
      <c r="B19" s="56" t="s">
        <v>170</v>
      </c>
      <c r="C19" s="199" t="s">
        <v>167</v>
      </c>
      <c r="D19" s="156">
        <v>46073</v>
      </c>
      <c r="E19" s="267"/>
      <c r="F19" s="158">
        <v>244000</v>
      </c>
      <c r="G19" s="224">
        <f>+H19/F19</f>
        <v>1.0044300000000002</v>
      </c>
      <c r="H19" s="158">
        <v>245080.92</v>
      </c>
      <c r="I19" s="206" t="s">
        <v>0</v>
      </c>
      <c r="J19" s="158">
        <v>244000</v>
      </c>
      <c r="K19" s="224">
        <f t="shared" si="4"/>
        <v>1.0028299999999999</v>
      </c>
      <c r="L19" s="158">
        <v>244690.52</v>
      </c>
      <c r="M19" s="202"/>
      <c r="N19" s="215"/>
      <c r="O19" s="216"/>
      <c r="P19" s="217"/>
    </row>
    <row r="20" spans="1:16" outlineLevel="1" x14ac:dyDescent="0.2">
      <c r="A20" s="198" t="s">
        <v>0</v>
      </c>
      <c r="B20" s="218" t="s">
        <v>211</v>
      </c>
      <c r="C20" s="219" t="s">
        <v>202</v>
      </c>
      <c r="D20" s="220">
        <v>46248</v>
      </c>
      <c r="E20" s="264"/>
      <c r="F20" s="221">
        <v>244000</v>
      </c>
      <c r="G20" s="222">
        <f>+H20/F20</f>
        <v>1</v>
      </c>
      <c r="H20" s="221">
        <v>244000</v>
      </c>
      <c r="I20" s="206" t="s">
        <v>0</v>
      </c>
      <c r="J20" s="221">
        <v>244000</v>
      </c>
      <c r="K20" s="328">
        <f t="shared" si="4"/>
        <v>1</v>
      </c>
      <c r="L20" s="221">
        <v>244000</v>
      </c>
      <c r="M20" s="202"/>
      <c r="N20" s="215"/>
      <c r="O20" s="216"/>
      <c r="P20" s="217"/>
    </row>
    <row r="21" spans="1:16" outlineLevel="1" x14ac:dyDescent="0.2">
      <c r="B21" s="56" t="s">
        <v>186</v>
      </c>
      <c r="C21" s="199" t="s">
        <v>187</v>
      </c>
      <c r="D21" s="156">
        <v>46261</v>
      </c>
      <c r="E21" s="267"/>
      <c r="F21" s="155">
        <v>2000000</v>
      </c>
      <c r="G21" s="224">
        <f>+H21/F21</f>
        <v>1</v>
      </c>
      <c r="H21" s="155">
        <v>2000000</v>
      </c>
      <c r="I21" s="201" t="s">
        <v>0</v>
      </c>
      <c r="J21" s="155">
        <v>2000000</v>
      </c>
      <c r="K21" s="329">
        <f t="shared" si="4"/>
        <v>1</v>
      </c>
      <c r="L21" s="155">
        <v>2000000</v>
      </c>
      <c r="M21" s="202"/>
      <c r="N21" s="215"/>
      <c r="O21" s="216"/>
      <c r="P21" s="217"/>
    </row>
    <row r="22" spans="1:16" outlineLevel="1" x14ac:dyDescent="0.2">
      <c r="B22" s="218" t="s">
        <v>203</v>
      </c>
      <c r="C22" s="219" t="s">
        <v>204</v>
      </c>
      <c r="D22" s="220">
        <v>46395</v>
      </c>
      <c r="E22" s="267"/>
      <c r="F22" s="221">
        <v>1000000</v>
      </c>
      <c r="G22" s="222">
        <f>+H22/F22</f>
        <v>1</v>
      </c>
      <c r="H22" s="221">
        <v>1000000</v>
      </c>
      <c r="I22" s="206" t="s">
        <v>0</v>
      </c>
      <c r="J22" s="221">
        <v>1000000</v>
      </c>
      <c r="K22" s="328">
        <f t="shared" si="4"/>
        <v>1</v>
      </c>
      <c r="L22" s="221">
        <v>1000000</v>
      </c>
      <c r="M22" s="202"/>
      <c r="N22" s="215"/>
      <c r="O22" s="216"/>
      <c r="P22" s="217"/>
    </row>
    <row r="23" spans="1:16" outlineLevel="1" x14ac:dyDescent="0.2">
      <c r="B23" s="56" t="s">
        <v>205</v>
      </c>
      <c r="C23" s="199" t="s">
        <v>206</v>
      </c>
      <c r="D23" s="156">
        <v>46430</v>
      </c>
      <c r="E23" s="267"/>
      <c r="F23" s="155">
        <v>244000</v>
      </c>
      <c r="G23" s="224">
        <f>+H23/F23</f>
        <v>1</v>
      </c>
      <c r="H23" s="155">
        <v>244000</v>
      </c>
      <c r="I23" s="206" t="s">
        <v>0</v>
      </c>
      <c r="J23" s="155">
        <v>244000</v>
      </c>
      <c r="K23" s="329">
        <f t="shared" si="4"/>
        <v>1</v>
      </c>
      <c r="L23" s="155">
        <v>244000</v>
      </c>
      <c r="M23" s="202"/>
      <c r="N23" s="215"/>
      <c r="O23" s="216"/>
      <c r="P23" s="217"/>
    </row>
    <row r="24" spans="1:16" outlineLevel="1" x14ac:dyDescent="0.2">
      <c r="B24" s="218" t="s">
        <v>212</v>
      </c>
      <c r="C24" s="219" t="s">
        <v>208</v>
      </c>
      <c r="D24" s="220">
        <v>46433</v>
      </c>
      <c r="E24" s="267"/>
      <c r="F24" s="221">
        <v>1050000</v>
      </c>
      <c r="G24" s="222">
        <f>+H24/F24</f>
        <v>0.98972666666666664</v>
      </c>
      <c r="H24" s="221">
        <v>1039213</v>
      </c>
      <c r="I24" s="206" t="s">
        <v>0</v>
      </c>
      <c r="J24" s="221">
        <v>1050000</v>
      </c>
      <c r="K24" s="328">
        <f t="shared" si="4"/>
        <v>0.98972666666666664</v>
      </c>
      <c r="L24" s="221">
        <v>1039213</v>
      </c>
      <c r="M24" s="202"/>
      <c r="N24" s="215"/>
      <c r="O24" s="216"/>
      <c r="P24" s="217"/>
    </row>
    <row r="25" spans="1:16" outlineLevel="1" x14ac:dyDescent="0.2">
      <c r="B25" s="56" t="s">
        <v>209</v>
      </c>
      <c r="C25" s="199" t="s">
        <v>210</v>
      </c>
      <c r="D25" s="156">
        <v>46457</v>
      </c>
      <c r="E25" s="267"/>
      <c r="F25" s="155">
        <v>244000</v>
      </c>
      <c r="G25" s="224">
        <f>+H25/F25</f>
        <v>1</v>
      </c>
      <c r="H25" s="155">
        <v>244000</v>
      </c>
      <c r="I25" s="206" t="s">
        <v>0</v>
      </c>
      <c r="J25" s="155">
        <v>244000</v>
      </c>
      <c r="K25" s="330">
        <f t="shared" si="4"/>
        <v>1</v>
      </c>
      <c r="L25" s="155">
        <v>244000</v>
      </c>
      <c r="M25" s="202"/>
      <c r="N25" s="215"/>
      <c r="O25" s="216"/>
      <c r="P25" s="217"/>
    </row>
    <row r="26" spans="1:16" outlineLevel="1" x14ac:dyDescent="0.2">
      <c r="B26" s="218" t="s">
        <v>203</v>
      </c>
      <c r="C26" s="219" t="s">
        <v>216</v>
      </c>
      <c r="D26" s="220">
        <v>46514</v>
      </c>
      <c r="E26" s="267"/>
      <c r="F26" s="221">
        <v>0</v>
      </c>
      <c r="G26" s="222">
        <v>0</v>
      </c>
      <c r="H26" s="221">
        <v>0</v>
      </c>
      <c r="I26" s="201" t="s">
        <v>53</v>
      </c>
      <c r="J26" s="221">
        <v>1000000</v>
      </c>
      <c r="K26" s="328">
        <f t="shared" si="4"/>
        <v>1</v>
      </c>
      <c r="L26" s="221">
        <v>1000000</v>
      </c>
      <c r="M26" s="202"/>
      <c r="N26" s="215"/>
      <c r="O26" s="216"/>
      <c r="P26" s="217"/>
    </row>
    <row r="27" spans="1:16" outlineLevel="1" x14ac:dyDescent="0.2">
      <c r="B27" s="56" t="s">
        <v>224</v>
      </c>
      <c r="C27" s="199" t="s">
        <v>217</v>
      </c>
      <c r="D27" s="156">
        <v>46562</v>
      </c>
      <c r="E27" s="267"/>
      <c r="F27" s="155">
        <v>0</v>
      </c>
      <c r="G27" s="224">
        <v>0</v>
      </c>
      <c r="H27" s="155">
        <v>0</v>
      </c>
      <c r="I27" s="201" t="s">
        <v>53</v>
      </c>
      <c r="J27" s="155">
        <v>244000</v>
      </c>
      <c r="K27" s="330">
        <f t="shared" si="4"/>
        <v>1</v>
      </c>
      <c r="L27" s="155">
        <v>244000</v>
      </c>
      <c r="M27" s="202"/>
      <c r="N27" s="215"/>
      <c r="O27" s="216"/>
      <c r="P27" s="217"/>
    </row>
    <row r="28" spans="1:16" outlineLevel="1" x14ac:dyDescent="0.2">
      <c r="B28" s="218" t="s">
        <v>214</v>
      </c>
      <c r="C28" s="219" t="s">
        <v>218</v>
      </c>
      <c r="D28" s="220">
        <v>46566</v>
      </c>
      <c r="E28" s="267"/>
      <c r="F28" s="221">
        <v>0</v>
      </c>
      <c r="G28" s="222">
        <v>0</v>
      </c>
      <c r="H28" s="221">
        <v>0</v>
      </c>
      <c r="I28" s="201" t="s">
        <v>53</v>
      </c>
      <c r="J28" s="221">
        <v>245000</v>
      </c>
      <c r="K28" s="328">
        <f t="shared" si="4"/>
        <v>1</v>
      </c>
      <c r="L28" s="221">
        <v>245000</v>
      </c>
      <c r="M28" s="202"/>
      <c r="N28" s="215"/>
      <c r="O28" s="216"/>
      <c r="P28" s="217"/>
    </row>
    <row r="29" spans="1:16" outlineLevel="1" x14ac:dyDescent="0.2">
      <c r="B29" s="56" t="s">
        <v>215</v>
      </c>
      <c r="C29" s="199" t="s">
        <v>225</v>
      </c>
      <c r="D29" s="156">
        <v>46568</v>
      </c>
      <c r="E29" s="267"/>
      <c r="F29" s="155">
        <v>0</v>
      </c>
      <c r="G29" s="224">
        <v>0</v>
      </c>
      <c r="H29" s="155">
        <v>0</v>
      </c>
      <c r="I29" s="201" t="s">
        <v>53</v>
      </c>
      <c r="J29" s="155">
        <v>249000</v>
      </c>
      <c r="K29" s="330">
        <f t="shared" si="4"/>
        <v>1</v>
      </c>
      <c r="L29" s="155">
        <v>249000</v>
      </c>
      <c r="M29" s="202"/>
      <c r="N29" s="215"/>
      <c r="O29" s="216"/>
      <c r="P29" s="217"/>
    </row>
    <row r="30" spans="1:16" outlineLevel="1" x14ac:dyDescent="0.2">
      <c r="B30" s="239" t="s">
        <v>142</v>
      </c>
      <c r="C30" s="276"/>
      <c r="D30" s="260">
        <v>45646</v>
      </c>
      <c r="E30" s="264"/>
      <c r="F30" s="262">
        <v>0</v>
      </c>
      <c r="G30" s="283">
        <v>0</v>
      </c>
      <c r="H30" s="262">
        <v>0</v>
      </c>
      <c r="I30" s="206"/>
      <c r="J30" s="262">
        <v>0</v>
      </c>
      <c r="K30" s="283">
        <v>0</v>
      </c>
      <c r="L30" s="262">
        <f t="shared" ref="L30" si="5">SUM(J30)</f>
        <v>0</v>
      </c>
      <c r="M30" s="202"/>
      <c r="N30" s="215"/>
      <c r="O30" s="216"/>
      <c r="P30" s="217"/>
    </row>
    <row r="31" spans="1:16" outlineLevel="1" x14ac:dyDescent="0.2">
      <c r="B31" s="239" t="s">
        <v>114</v>
      </c>
      <c r="C31" s="276" t="s">
        <v>155</v>
      </c>
      <c r="D31" s="260">
        <v>45626</v>
      </c>
      <c r="E31" s="267"/>
      <c r="F31" s="237">
        <v>0</v>
      </c>
      <c r="G31" s="283">
        <v>0</v>
      </c>
      <c r="H31" s="237">
        <v>0</v>
      </c>
      <c r="I31" s="201"/>
      <c r="J31" s="237">
        <v>0</v>
      </c>
      <c r="K31" s="283">
        <v>0</v>
      </c>
      <c r="L31" s="237">
        <v>0</v>
      </c>
      <c r="M31" s="202"/>
      <c r="N31" s="215"/>
      <c r="O31" s="216"/>
      <c r="P31" s="217"/>
    </row>
    <row r="32" spans="1:16" outlineLevel="1" x14ac:dyDescent="0.2">
      <c r="B32" s="239" t="s">
        <v>168</v>
      </c>
      <c r="C32" s="276" t="s">
        <v>161</v>
      </c>
      <c r="D32" s="260">
        <v>45708</v>
      </c>
      <c r="E32" s="267"/>
      <c r="F32" s="237">
        <v>0</v>
      </c>
      <c r="G32" s="283">
        <v>0</v>
      </c>
      <c r="H32" s="237">
        <v>0</v>
      </c>
      <c r="I32" s="201"/>
      <c r="J32" s="237">
        <v>0</v>
      </c>
      <c r="K32" s="283">
        <v>0</v>
      </c>
      <c r="L32" s="237">
        <v>0</v>
      </c>
      <c r="M32" s="202"/>
      <c r="N32" s="215"/>
      <c r="O32" s="216"/>
      <c r="P32" s="217"/>
    </row>
    <row r="33" spans="1:16" outlineLevel="1" x14ac:dyDescent="0.2">
      <c r="B33" s="239" t="s">
        <v>162</v>
      </c>
      <c r="C33" s="276" t="s">
        <v>163</v>
      </c>
      <c r="D33" s="260">
        <v>45709</v>
      </c>
      <c r="E33" s="267"/>
      <c r="F33" s="237">
        <v>0</v>
      </c>
      <c r="G33" s="283">
        <v>0</v>
      </c>
      <c r="H33" s="237">
        <v>0</v>
      </c>
      <c r="I33" s="201"/>
      <c r="J33" s="237">
        <v>0</v>
      </c>
      <c r="K33" s="283">
        <v>0</v>
      </c>
      <c r="L33" s="237">
        <v>0</v>
      </c>
      <c r="M33" s="202"/>
      <c r="N33" s="215"/>
      <c r="O33" s="216"/>
      <c r="P33" s="217"/>
    </row>
    <row r="34" spans="1:16" outlineLevel="1" x14ac:dyDescent="0.2">
      <c r="B34" s="239" t="s">
        <v>130</v>
      </c>
      <c r="C34" s="276" t="s">
        <v>131</v>
      </c>
      <c r="D34" s="260">
        <v>45733</v>
      </c>
      <c r="E34" s="267"/>
      <c r="F34" s="237">
        <v>0</v>
      </c>
      <c r="G34" s="283">
        <v>0</v>
      </c>
      <c r="H34" s="237">
        <v>0</v>
      </c>
      <c r="I34" s="201"/>
      <c r="J34" s="237">
        <v>0</v>
      </c>
      <c r="K34" s="283">
        <v>0</v>
      </c>
      <c r="L34" s="237">
        <v>0</v>
      </c>
      <c r="M34" s="202"/>
      <c r="N34" s="215"/>
      <c r="O34" s="216"/>
      <c r="P34" s="217"/>
    </row>
    <row r="35" spans="1:16" outlineLevel="1" x14ac:dyDescent="0.2">
      <c r="B35" s="239" t="s">
        <v>132</v>
      </c>
      <c r="C35" s="276">
        <v>254673278</v>
      </c>
      <c r="D35" s="260">
        <v>45737</v>
      </c>
      <c r="E35" s="267"/>
      <c r="F35" s="237">
        <v>0</v>
      </c>
      <c r="G35" s="283">
        <v>0</v>
      </c>
      <c r="H35" s="237">
        <v>0</v>
      </c>
      <c r="I35" s="201"/>
      <c r="J35" s="237">
        <v>0</v>
      </c>
      <c r="K35" s="283">
        <v>0</v>
      </c>
      <c r="L35" s="237">
        <v>0</v>
      </c>
      <c r="M35" s="202"/>
      <c r="N35" s="215"/>
      <c r="O35" s="216"/>
      <c r="P35" s="217"/>
    </row>
    <row r="36" spans="1:16" outlineLevel="1" x14ac:dyDescent="0.2">
      <c r="B36" s="239" t="s">
        <v>133</v>
      </c>
      <c r="C36" s="276" t="s">
        <v>134</v>
      </c>
      <c r="D36" s="260">
        <v>45743</v>
      </c>
      <c r="E36" s="267"/>
      <c r="F36" s="237">
        <v>0</v>
      </c>
      <c r="G36" s="283">
        <v>0</v>
      </c>
      <c r="H36" s="237">
        <v>0</v>
      </c>
      <c r="I36" s="201"/>
      <c r="J36" s="237">
        <v>0</v>
      </c>
      <c r="K36" s="283">
        <v>0</v>
      </c>
      <c r="L36" s="237">
        <v>0</v>
      </c>
      <c r="M36" s="202"/>
      <c r="N36" s="215"/>
      <c r="O36" s="216"/>
      <c r="P36" s="217"/>
    </row>
    <row r="37" spans="1:16" outlineLevel="1" x14ac:dyDescent="0.2">
      <c r="B37" s="239" t="s">
        <v>138</v>
      </c>
      <c r="C37" s="276" t="s">
        <v>136</v>
      </c>
      <c r="D37" s="260">
        <v>45743</v>
      </c>
      <c r="E37" s="267"/>
      <c r="F37" s="237">
        <v>0</v>
      </c>
      <c r="G37" s="283">
        <v>0</v>
      </c>
      <c r="H37" s="237">
        <v>0</v>
      </c>
      <c r="I37" s="201"/>
      <c r="J37" s="237">
        <v>0</v>
      </c>
      <c r="K37" s="283">
        <v>0</v>
      </c>
      <c r="L37" s="237">
        <v>0</v>
      </c>
      <c r="M37" s="202"/>
      <c r="N37" s="215"/>
      <c r="O37" s="216"/>
      <c r="P37" s="217"/>
    </row>
    <row r="38" spans="1:16" x14ac:dyDescent="0.2">
      <c r="A38" s="20" t="s">
        <v>69</v>
      </c>
      <c r="D38" s="25"/>
      <c r="E38" s="267"/>
      <c r="F38" s="226">
        <f>SUM(F6:F37)</f>
        <v>61958464.579999998</v>
      </c>
      <c r="G38" s="227">
        <f t="shared" ref="G38" si="6">+H38/F38</f>
        <v>0.99981412628479305</v>
      </c>
      <c r="H38" s="226">
        <f>SUM(H6:H37)</f>
        <v>61946948.129999995</v>
      </c>
      <c r="I38" s="201" t="s">
        <v>53</v>
      </c>
      <c r="J38" s="226">
        <f>SUM(J6:J37)</f>
        <v>46666533.299999997</v>
      </c>
      <c r="K38" s="331">
        <f>+L38/J38</f>
        <v>0.99975927716919133</v>
      </c>
      <c r="L38" s="226">
        <f>SUM(L6:L37)</f>
        <v>46655299.599999994</v>
      </c>
      <c r="M38" s="228"/>
      <c r="N38" s="215">
        <f>SUM(L38-H38)</f>
        <v>-15291648.530000001</v>
      </c>
      <c r="O38" s="216"/>
      <c r="P38" s="217">
        <v>-12033419.32</v>
      </c>
    </row>
    <row r="39" spans="1:16" x14ac:dyDescent="0.2">
      <c r="A39" s="20"/>
      <c r="D39" s="25"/>
      <c r="E39" s="267"/>
      <c r="F39" s="52"/>
      <c r="G39" s="214"/>
      <c r="H39" s="52"/>
      <c r="I39" s="206"/>
      <c r="J39" s="52"/>
      <c r="K39" s="214"/>
      <c r="L39" s="52"/>
      <c r="M39" s="228"/>
      <c r="N39" s="215"/>
      <c r="O39" s="216"/>
      <c r="P39" s="217"/>
    </row>
    <row r="40" spans="1:16" x14ac:dyDescent="0.2">
      <c r="A40" s="20"/>
      <c r="D40" s="25"/>
      <c r="E40" s="267"/>
      <c r="F40" s="52"/>
      <c r="G40" s="214"/>
      <c r="H40" s="52"/>
      <c r="I40" s="206"/>
      <c r="J40" s="52"/>
      <c r="K40" s="214"/>
      <c r="L40" s="52"/>
      <c r="M40" s="228"/>
      <c r="N40" s="215"/>
      <c r="O40" s="216"/>
      <c r="P40" s="217"/>
    </row>
    <row r="41" spans="1:16" x14ac:dyDescent="0.2">
      <c r="A41" s="20" t="s">
        <v>111</v>
      </c>
      <c r="B41" t="s">
        <v>97</v>
      </c>
      <c r="D41" s="25">
        <v>45838</v>
      </c>
      <c r="E41" s="267"/>
      <c r="F41" s="3">
        <v>2002392.73</v>
      </c>
      <c r="G41" s="223">
        <f t="shared" ref="G41:G43" si="7">+H41/F41</f>
        <v>1</v>
      </c>
      <c r="H41" s="3">
        <f>SUM(F41)</f>
        <v>2002392.73</v>
      </c>
      <c r="I41" s="206" t="s">
        <v>53</v>
      </c>
      <c r="J41" s="3">
        <v>77887.23</v>
      </c>
      <c r="K41" s="223">
        <f t="shared" si="3"/>
        <v>1</v>
      </c>
      <c r="L41" s="3">
        <f>SUM(J41)</f>
        <v>77887.23</v>
      </c>
      <c r="M41" s="228"/>
      <c r="N41" s="215"/>
      <c r="O41" s="216"/>
      <c r="P41" s="217"/>
    </row>
    <row r="42" spans="1:16" x14ac:dyDescent="0.2">
      <c r="A42" s="20"/>
      <c r="B42" s="218" t="s">
        <v>192</v>
      </c>
      <c r="C42" s="219"/>
      <c r="D42" s="220">
        <v>45838</v>
      </c>
      <c r="E42" s="267"/>
      <c r="F42" s="221">
        <v>8232702.9800000004</v>
      </c>
      <c r="G42" s="221">
        <f t="shared" si="7"/>
        <v>1</v>
      </c>
      <c r="H42" s="221">
        <f>SUM(F42)</f>
        <v>8232702.9800000004</v>
      </c>
      <c r="I42" s="206" t="s">
        <v>53</v>
      </c>
      <c r="J42" s="221">
        <v>8320204.8399999999</v>
      </c>
      <c r="K42" s="222">
        <f t="shared" si="3"/>
        <v>1</v>
      </c>
      <c r="L42" s="221">
        <f>SUM(J42)</f>
        <v>8320204.8399999999</v>
      </c>
      <c r="M42" s="228"/>
      <c r="N42" s="215"/>
      <c r="O42" s="216"/>
      <c r="P42" s="217"/>
    </row>
    <row r="43" spans="1:16" x14ac:dyDescent="0.2">
      <c r="A43" s="20"/>
      <c r="D43" s="25"/>
      <c r="E43" s="267"/>
      <c r="F43" s="226">
        <f>SUM(F41:F42)</f>
        <v>10235095.710000001</v>
      </c>
      <c r="G43" s="227">
        <f t="shared" si="7"/>
        <v>1</v>
      </c>
      <c r="H43" s="226">
        <f>SUM(H41:H42)</f>
        <v>10235095.710000001</v>
      </c>
      <c r="I43" s="206"/>
      <c r="J43" s="226">
        <f>SUM(J41:J42)</f>
        <v>8398092.0700000003</v>
      </c>
      <c r="K43" s="227">
        <f t="shared" si="3"/>
        <v>1</v>
      </c>
      <c r="L43" s="226">
        <f>SUM(L41:L42)</f>
        <v>8398092.0700000003</v>
      </c>
      <c r="M43" s="228"/>
      <c r="N43" s="215">
        <f>+SUM(L43-H43)</f>
        <v>-1837003.6400000006</v>
      </c>
      <c r="O43" s="216"/>
      <c r="P43" s="217">
        <v>14463.82</v>
      </c>
    </row>
    <row r="44" spans="1:16" x14ac:dyDescent="0.2">
      <c r="A44" s="20"/>
      <c r="D44" s="25"/>
      <c r="E44" s="267"/>
      <c r="F44" s="52"/>
      <c r="G44" s="223"/>
      <c r="H44" s="52"/>
      <c r="I44" s="206"/>
      <c r="J44" s="52"/>
      <c r="K44" s="223"/>
      <c r="L44" s="52"/>
      <c r="M44" s="228"/>
      <c r="N44" s="215"/>
      <c r="O44" s="216"/>
      <c r="P44" s="217"/>
    </row>
    <row r="45" spans="1:16" x14ac:dyDescent="0.2">
      <c r="A45" s="20" t="s">
        <v>71</v>
      </c>
      <c r="B45" t="s">
        <v>97</v>
      </c>
      <c r="D45" s="25">
        <v>45838</v>
      </c>
      <c r="E45" s="267"/>
      <c r="F45" s="3">
        <v>5332.45</v>
      </c>
      <c r="G45" s="223">
        <f>+H45/F45</f>
        <v>1</v>
      </c>
      <c r="H45" s="3">
        <f>SUM(F45)</f>
        <v>5332.45</v>
      </c>
      <c r="I45" s="206" t="s">
        <v>53</v>
      </c>
      <c r="J45" s="3">
        <v>5369.51</v>
      </c>
      <c r="K45" s="223">
        <f>+L45/J45</f>
        <v>1</v>
      </c>
      <c r="L45" s="3">
        <f>SUM(J45)</f>
        <v>5369.51</v>
      </c>
      <c r="M45" s="202"/>
      <c r="N45" s="164"/>
      <c r="O45" s="216"/>
      <c r="P45" s="217"/>
    </row>
    <row r="46" spans="1:16" x14ac:dyDescent="0.2">
      <c r="A46" s="20"/>
      <c r="D46" s="25"/>
      <c r="E46" s="267"/>
      <c r="F46" s="226">
        <f>SUM(F45)</f>
        <v>5332.45</v>
      </c>
      <c r="G46" s="227">
        <f>+H46/F46</f>
        <v>1</v>
      </c>
      <c r="H46" s="226">
        <f>SUM(H45)</f>
        <v>5332.45</v>
      </c>
      <c r="I46" s="206"/>
      <c r="J46" s="226">
        <f>SUM(J45)</f>
        <v>5369.51</v>
      </c>
      <c r="K46" s="227">
        <f>+L46/J46</f>
        <v>1</v>
      </c>
      <c r="L46" s="226">
        <f>SUM(L45)</f>
        <v>5369.51</v>
      </c>
      <c r="M46" s="228"/>
      <c r="N46" s="164">
        <f>SUM(L46-H46)</f>
        <v>37.0600000000004</v>
      </c>
      <c r="O46" s="216"/>
      <c r="P46" s="217">
        <v>45.85</v>
      </c>
    </row>
    <row r="47" spans="1:16" x14ac:dyDescent="0.2">
      <c r="A47" s="20"/>
      <c r="D47" s="25"/>
      <c r="E47" s="267"/>
      <c r="F47" s="52"/>
      <c r="G47" s="223"/>
      <c r="H47" s="52"/>
      <c r="I47" s="206"/>
      <c r="J47" s="52"/>
      <c r="K47" s="223"/>
      <c r="L47" s="52"/>
      <c r="M47" s="228"/>
      <c r="N47" s="164"/>
      <c r="O47" s="216"/>
      <c r="P47" s="217"/>
    </row>
    <row r="48" spans="1:16" x14ac:dyDescent="0.2">
      <c r="A48" s="20" t="s">
        <v>226</v>
      </c>
      <c r="B48" t="s">
        <v>97</v>
      </c>
      <c r="D48" s="25">
        <v>45838</v>
      </c>
      <c r="E48" s="267"/>
      <c r="F48" s="52">
        <v>0</v>
      </c>
      <c r="G48" s="223">
        <v>0</v>
      </c>
      <c r="H48" s="52">
        <v>0</v>
      </c>
      <c r="I48" s="201" t="s">
        <v>53</v>
      </c>
      <c r="J48" s="323">
        <v>11640964.699999999</v>
      </c>
      <c r="K48" s="223">
        <f>+L48/J48</f>
        <v>1</v>
      </c>
      <c r="L48" s="3">
        <f>SUM(J48)</f>
        <v>11640964.699999999</v>
      </c>
      <c r="M48" s="228"/>
      <c r="N48" s="164"/>
      <c r="O48" s="216"/>
      <c r="P48" s="217"/>
    </row>
    <row r="49" spans="1:16" x14ac:dyDescent="0.2">
      <c r="A49" s="20" t="s">
        <v>222</v>
      </c>
      <c r="D49" s="25"/>
      <c r="E49" s="267"/>
      <c r="F49" s="226">
        <f>SUM(F48)</f>
        <v>0</v>
      </c>
      <c r="G49" s="227">
        <v>0</v>
      </c>
      <c r="H49" s="226">
        <f>SUM(H48)</f>
        <v>0</v>
      </c>
      <c r="I49" s="206"/>
      <c r="J49" s="226">
        <f>SUM(J48)</f>
        <v>11640964.699999999</v>
      </c>
      <c r="K49" s="227">
        <f>+L49/J49</f>
        <v>1</v>
      </c>
      <c r="L49" s="226">
        <f>SUM(L48)</f>
        <v>11640964.699999999</v>
      </c>
      <c r="M49" s="228"/>
      <c r="N49" s="164">
        <f>SUM(L49-H49)</f>
        <v>11640964.699999999</v>
      </c>
      <c r="O49" s="216"/>
      <c r="P49" s="217">
        <v>0</v>
      </c>
    </row>
    <row r="50" spans="1:16" x14ac:dyDescent="0.2">
      <c r="A50" s="20"/>
      <c r="D50" s="25"/>
      <c r="E50" s="267"/>
      <c r="F50" s="52"/>
      <c r="G50" s="223"/>
      <c r="H50" s="52"/>
      <c r="I50" s="206"/>
      <c r="J50" s="52"/>
      <c r="K50" s="223"/>
      <c r="L50" s="52"/>
      <c r="M50" s="228"/>
      <c r="N50" s="164"/>
      <c r="O50" s="216"/>
      <c r="P50" s="217"/>
    </row>
    <row r="51" spans="1:16" x14ac:dyDescent="0.2">
      <c r="A51" s="20"/>
      <c r="D51" s="25"/>
      <c r="E51" s="267"/>
      <c r="F51" s="52"/>
      <c r="G51" s="223"/>
      <c r="H51" s="52"/>
      <c r="I51" s="206"/>
      <c r="J51" s="52"/>
      <c r="K51" s="223"/>
      <c r="L51" s="52"/>
      <c r="M51" s="228"/>
      <c r="N51" s="164"/>
      <c r="O51" s="216"/>
      <c r="P51" s="217"/>
    </row>
    <row r="52" spans="1:16" x14ac:dyDescent="0.2">
      <c r="A52" s="20" t="s">
        <v>6</v>
      </c>
      <c r="B52" t="s">
        <v>97</v>
      </c>
      <c r="D52" s="25">
        <v>45838</v>
      </c>
      <c r="E52" s="267"/>
      <c r="F52" s="10">
        <v>6298.3</v>
      </c>
      <c r="G52" s="223">
        <f t="shared" ref="G52:G53" si="8">+H52/F52</f>
        <v>1</v>
      </c>
      <c r="H52" s="3">
        <f>SUM(F52)</f>
        <v>6298.3</v>
      </c>
      <c r="I52" s="201" t="s">
        <v>53</v>
      </c>
      <c r="J52" s="10">
        <v>6342.07</v>
      </c>
      <c r="K52" s="223">
        <f t="shared" ref="K52:K53" si="9">+L52/J52</f>
        <v>1</v>
      </c>
      <c r="L52" s="3">
        <f>SUM(J52)</f>
        <v>6342.07</v>
      </c>
      <c r="M52" s="202"/>
      <c r="N52" s="164"/>
      <c r="O52" s="216"/>
      <c r="P52" s="217"/>
    </row>
    <row r="53" spans="1:16" x14ac:dyDescent="0.2">
      <c r="A53" s="20"/>
      <c r="D53" s="25"/>
      <c r="E53" s="267"/>
      <c r="F53" s="226">
        <f>SUM(F52)</f>
        <v>6298.3</v>
      </c>
      <c r="G53" s="227">
        <f t="shared" si="8"/>
        <v>1</v>
      </c>
      <c r="H53" s="226">
        <f>SUM(H52)</f>
        <v>6298.3</v>
      </c>
      <c r="I53" s="206"/>
      <c r="J53" s="226">
        <f>SUM(J52)</f>
        <v>6342.07</v>
      </c>
      <c r="K53" s="227">
        <f t="shared" si="9"/>
        <v>1</v>
      </c>
      <c r="L53" s="226">
        <f>SUM(L52)</f>
        <v>6342.07</v>
      </c>
      <c r="M53" s="228"/>
      <c r="N53" s="164">
        <f>SUM(L53-H53)</f>
        <v>43.769999999999527</v>
      </c>
      <c r="O53" s="216"/>
      <c r="P53" s="217">
        <v>54.2</v>
      </c>
    </row>
    <row r="54" spans="1:16" x14ac:dyDescent="0.2">
      <c r="A54" s="20"/>
      <c r="D54" s="25"/>
      <c r="E54" s="267"/>
      <c r="F54" s="52"/>
      <c r="G54" s="223"/>
      <c r="H54" s="52"/>
      <c r="I54" s="206"/>
      <c r="J54" s="52"/>
      <c r="K54" s="223"/>
      <c r="L54" s="52"/>
      <c r="M54" s="228"/>
      <c r="N54" s="164"/>
      <c r="O54" s="216"/>
      <c r="P54" s="217"/>
    </row>
    <row r="55" spans="1:16" x14ac:dyDescent="0.2">
      <c r="A55" s="20" t="s">
        <v>102</v>
      </c>
      <c r="B55" t="s">
        <v>97</v>
      </c>
      <c r="D55" s="25">
        <v>45838</v>
      </c>
      <c r="E55" s="267"/>
      <c r="F55" s="3">
        <v>2872888.62</v>
      </c>
      <c r="G55" s="223">
        <f>+H55/F55</f>
        <v>1</v>
      </c>
      <c r="H55" s="3">
        <f>SUM(F55)</f>
        <v>2872888.62</v>
      </c>
      <c r="I55" s="206" t="s">
        <v>53</v>
      </c>
      <c r="J55" s="3">
        <v>2073032.18</v>
      </c>
      <c r="K55" s="223">
        <f>+L55/J55</f>
        <v>1</v>
      </c>
      <c r="L55" s="3">
        <f>SUM(J55)</f>
        <v>2073032.18</v>
      </c>
      <c r="M55" s="228"/>
      <c r="N55" s="164"/>
      <c r="O55" s="216"/>
      <c r="P55" s="217"/>
    </row>
    <row r="56" spans="1:16" x14ac:dyDescent="0.2">
      <c r="A56" s="20"/>
      <c r="D56" s="25"/>
      <c r="E56" s="267"/>
      <c r="F56" s="226">
        <f>SUM(F55:F55)</f>
        <v>2872888.62</v>
      </c>
      <c r="G56" s="227">
        <f>+H56/F56</f>
        <v>1</v>
      </c>
      <c r="H56" s="226">
        <f>SUM(H55:H55)</f>
        <v>2872888.62</v>
      </c>
      <c r="I56" s="206"/>
      <c r="J56" s="226">
        <f>SUM(J55:J55)</f>
        <v>2073032.18</v>
      </c>
      <c r="K56" s="227">
        <f>+L56/J56</f>
        <v>1</v>
      </c>
      <c r="L56" s="226">
        <f>SUM(L55:L55)</f>
        <v>2073032.18</v>
      </c>
      <c r="M56" s="228"/>
      <c r="N56" s="164">
        <f>SUM(L56-H56)</f>
        <v>-799856.44000000018</v>
      </c>
      <c r="O56" s="216"/>
      <c r="P56" s="217">
        <v>-475631.35</v>
      </c>
    </row>
    <row r="57" spans="1:16" x14ac:dyDescent="0.2">
      <c r="A57" s="20"/>
      <c r="D57" s="25"/>
      <c r="E57" s="267"/>
      <c r="F57" s="52"/>
      <c r="G57" s="223"/>
      <c r="H57" s="52"/>
      <c r="I57" s="206"/>
      <c r="J57" s="52"/>
      <c r="K57" s="223"/>
      <c r="L57" s="52"/>
      <c r="M57" s="228"/>
      <c r="N57" s="164"/>
      <c r="O57" s="216"/>
      <c r="P57" s="217"/>
    </row>
    <row r="58" spans="1:16" x14ac:dyDescent="0.2">
      <c r="A58" s="20" t="s">
        <v>10</v>
      </c>
      <c r="B58" t="s">
        <v>97</v>
      </c>
      <c r="D58" s="25">
        <v>45838</v>
      </c>
      <c r="E58" s="267"/>
      <c r="F58" s="3">
        <v>79339.360000000001</v>
      </c>
      <c r="G58" s="229">
        <f>H58/F58</f>
        <v>1</v>
      </c>
      <c r="H58" s="3">
        <f>SUM(F58)</f>
        <v>79339.360000000001</v>
      </c>
      <c r="I58" s="201" t="s">
        <v>53</v>
      </c>
      <c r="J58" s="3">
        <v>80502.880000000005</v>
      </c>
      <c r="K58" s="229">
        <f>L58/J58</f>
        <v>1</v>
      </c>
      <c r="L58" s="3">
        <f>SUM(J58)</f>
        <v>80502.880000000005</v>
      </c>
      <c r="M58" s="202"/>
      <c r="N58" s="164"/>
      <c r="O58" s="216"/>
      <c r="P58" s="217"/>
    </row>
    <row r="59" spans="1:16" x14ac:dyDescent="0.2">
      <c r="A59" s="20"/>
      <c r="D59" s="25"/>
      <c r="E59" s="264"/>
      <c r="F59" s="226">
        <f>SUM(F58)</f>
        <v>79339.360000000001</v>
      </c>
      <c r="G59" s="230">
        <f>H59/F59</f>
        <v>1</v>
      </c>
      <c r="H59" s="226">
        <f>SUM(H58)</f>
        <v>79339.360000000001</v>
      </c>
      <c r="I59" s="206"/>
      <c r="J59" s="226">
        <f>SUM(J58)</f>
        <v>80502.880000000005</v>
      </c>
      <c r="K59" s="230">
        <f>L59/J59</f>
        <v>1</v>
      </c>
      <c r="L59" s="226">
        <f>SUM(L58)</f>
        <v>80502.880000000005</v>
      </c>
      <c r="M59" s="228"/>
      <c r="N59" s="164">
        <f>SUM(L59-H59)</f>
        <v>1163.5200000000041</v>
      </c>
      <c r="O59" s="216"/>
      <c r="P59" s="217">
        <v>1512.79</v>
      </c>
    </row>
    <row r="60" spans="1:16" x14ac:dyDescent="0.2">
      <c r="A60" s="20"/>
      <c r="E60" s="264"/>
      <c r="G60" s="229"/>
      <c r="I60" s="201"/>
      <c r="K60" s="229"/>
      <c r="M60" s="202"/>
      <c r="N60" s="164"/>
      <c r="O60" s="216"/>
      <c r="P60" s="217"/>
    </row>
    <row r="61" spans="1:16" x14ac:dyDescent="0.2">
      <c r="A61" s="20"/>
      <c r="E61" s="264"/>
      <c r="G61" s="229"/>
      <c r="I61" s="201"/>
      <c r="K61" s="229"/>
      <c r="M61" s="202"/>
      <c r="N61" s="164"/>
      <c r="O61" s="216"/>
      <c r="P61" s="217"/>
    </row>
    <row r="62" spans="1:16" x14ac:dyDescent="0.2">
      <c r="A62" s="20" t="s">
        <v>29</v>
      </c>
      <c r="B62" t="s">
        <v>97</v>
      </c>
      <c r="D62" s="25">
        <v>45838</v>
      </c>
      <c r="E62" s="267"/>
      <c r="F62" s="3">
        <v>938280.48</v>
      </c>
      <c r="G62" s="229">
        <f>H62/F62</f>
        <v>1</v>
      </c>
      <c r="H62" s="3">
        <f>SUM(F62)</f>
        <v>938280.48</v>
      </c>
      <c r="I62" s="201" t="s">
        <v>53</v>
      </c>
      <c r="J62" s="3">
        <v>806954.93</v>
      </c>
      <c r="K62" s="229">
        <f>L62/J62</f>
        <v>1</v>
      </c>
      <c r="L62" s="3">
        <f>SUM(J62)</f>
        <v>806954.93</v>
      </c>
      <c r="M62" s="202"/>
      <c r="N62" s="164"/>
      <c r="O62" s="216"/>
      <c r="P62" s="217"/>
    </row>
    <row r="63" spans="1:16" x14ac:dyDescent="0.2">
      <c r="A63" s="20"/>
      <c r="B63" t="s">
        <v>97</v>
      </c>
      <c r="E63" s="264"/>
      <c r="F63" s="226">
        <f>SUM(F62)</f>
        <v>938280.48</v>
      </c>
      <c r="G63" s="230">
        <f>H63/F63</f>
        <v>1</v>
      </c>
      <c r="H63" s="226">
        <f>SUM(H62)</f>
        <v>938280.48</v>
      </c>
      <c r="I63" s="206"/>
      <c r="J63" s="226">
        <f>SUM(J62)</f>
        <v>806954.93</v>
      </c>
      <c r="K63" s="230">
        <f>L63/J63</f>
        <v>1</v>
      </c>
      <c r="L63" s="226">
        <f>SUM(L62)</f>
        <v>806954.93</v>
      </c>
      <c r="M63" s="228"/>
      <c r="N63" s="164">
        <f>SUM(L63-H63)</f>
        <v>-131325.54999999993</v>
      </c>
      <c r="O63" s="216"/>
      <c r="P63" s="217">
        <v>419262.01</v>
      </c>
    </row>
    <row r="64" spans="1:16" x14ac:dyDescent="0.2">
      <c r="A64" s="20"/>
      <c r="D64" s="25"/>
      <c r="E64" s="267"/>
      <c r="F64" s="52"/>
      <c r="G64" s="223"/>
      <c r="H64" s="52"/>
      <c r="I64" s="206"/>
      <c r="J64" s="52"/>
      <c r="K64" s="223"/>
      <c r="L64" s="52"/>
      <c r="M64" s="228"/>
      <c r="N64" s="164"/>
      <c r="O64" s="216"/>
      <c r="P64" s="217"/>
    </row>
    <row r="65" spans="1:16" x14ac:dyDescent="0.2">
      <c r="A65" s="20"/>
      <c r="D65" s="25"/>
      <c r="E65" s="267"/>
      <c r="F65" s="52"/>
      <c r="G65" s="223"/>
      <c r="H65" s="52"/>
      <c r="I65" s="206"/>
      <c r="J65" s="52"/>
      <c r="K65" s="223"/>
      <c r="L65" s="52"/>
      <c r="M65" s="228"/>
      <c r="N65" s="164"/>
      <c r="O65" s="216"/>
      <c r="P65" s="217"/>
    </row>
    <row r="66" spans="1:16" x14ac:dyDescent="0.2">
      <c r="A66" s="20" t="s">
        <v>82</v>
      </c>
      <c r="B66" t="s">
        <v>97</v>
      </c>
      <c r="D66" s="25">
        <v>45838</v>
      </c>
      <c r="E66" s="267"/>
      <c r="F66" s="3">
        <v>1113189.3</v>
      </c>
      <c r="G66" s="229">
        <f>H66/F66</f>
        <v>1</v>
      </c>
      <c r="H66" s="3">
        <f>SUM(F66)</f>
        <v>1113189.3</v>
      </c>
      <c r="I66" s="201" t="s">
        <v>53</v>
      </c>
      <c r="J66" s="3">
        <v>1121030.1200000001</v>
      </c>
      <c r="K66" s="229">
        <f>L66/J66</f>
        <v>1</v>
      </c>
      <c r="L66" s="3">
        <f>SUM(J66)</f>
        <v>1121030.1200000001</v>
      </c>
      <c r="M66" s="202"/>
      <c r="N66" s="164"/>
      <c r="O66" s="216"/>
      <c r="P66" s="217"/>
    </row>
    <row r="67" spans="1:16" x14ac:dyDescent="0.2">
      <c r="A67" s="20"/>
      <c r="E67" s="264"/>
      <c r="F67" s="226">
        <f>SUM(F66)</f>
        <v>1113189.3</v>
      </c>
      <c r="G67" s="230">
        <f>H67/F67</f>
        <v>1</v>
      </c>
      <c r="H67" s="226">
        <f>SUM(H66)</f>
        <v>1113189.3</v>
      </c>
      <c r="I67" s="206"/>
      <c r="J67" s="226">
        <f>SUM(J66)</f>
        <v>1121030.1200000001</v>
      </c>
      <c r="K67" s="230">
        <f>L67/J67</f>
        <v>1</v>
      </c>
      <c r="L67" s="226">
        <f>SUM(L66)</f>
        <v>1121030.1200000001</v>
      </c>
      <c r="M67" s="228"/>
      <c r="N67" s="164">
        <f>SUM(L67-H67)</f>
        <v>7840.8200000000652</v>
      </c>
      <c r="O67" s="216"/>
      <c r="P67" s="217">
        <v>9676.49</v>
      </c>
    </row>
    <row r="68" spans="1:16" x14ac:dyDescent="0.2">
      <c r="A68" s="20"/>
      <c r="E68" s="264"/>
      <c r="F68" s="52"/>
      <c r="G68" s="229"/>
      <c r="H68" s="52"/>
      <c r="I68" s="206"/>
      <c r="J68" s="52"/>
      <c r="K68" s="229"/>
      <c r="L68" s="52"/>
      <c r="M68" s="228"/>
      <c r="N68" s="164"/>
      <c r="O68" s="216"/>
      <c r="P68" s="217"/>
    </row>
    <row r="69" spans="1:16" x14ac:dyDescent="0.2">
      <c r="A69" s="20" t="s">
        <v>54</v>
      </c>
      <c r="B69" s="26" t="s">
        <v>97</v>
      </c>
      <c r="D69" s="25">
        <v>45838</v>
      </c>
      <c r="E69" s="267"/>
      <c r="F69" s="3">
        <v>2790740</v>
      </c>
      <c r="G69" s="229">
        <f t="shared" ref="G69:G70" si="10">H69/F69</f>
        <v>1</v>
      </c>
      <c r="H69" s="3">
        <f>SUM(F69)</f>
        <v>2790740</v>
      </c>
      <c r="I69" s="201" t="s">
        <v>53</v>
      </c>
      <c r="J69" s="3">
        <v>487589.23</v>
      </c>
      <c r="K69" s="229">
        <f t="shared" ref="K69:K74" si="11">L69/J69</f>
        <v>1</v>
      </c>
      <c r="L69" s="3">
        <f>SUM(J69)</f>
        <v>487589.23</v>
      </c>
      <c r="M69" s="202"/>
      <c r="N69" s="164"/>
      <c r="O69" s="216"/>
      <c r="P69" s="217"/>
    </row>
    <row r="70" spans="1:16" x14ac:dyDescent="0.2">
      <c r="A70" s="20"/>
      <c r="B70" s="218" t="s">
        <v>105</v>
      </c>
      <c r="C70" s="219"/>
      <c r="D70" s="220">
        <v>45838</v>
      </c>
      <c r="E70" s="267"/>
      <c r="F70" s="221">
        <v>4918.09</v>
      </c>
      <c r="G70" s="231">
        <f t="shared" si="10"/>
        <v>1</v>
      </c>
      <c r="H70" s="221">
        <f>SUM(F70)</f>
        <v>4918.09</v>
      </c>
      <c r="I70" s="201" t="s">
        <v>53</v>
      </c>
      <c r="J70" s="221">
        <v>4971.1899999999996</v>
      </c>
      <c r="K70" s="231">
        <f t="shared" si="11"/>
        <v>1</v>
      </c>
      <c r="L70" s="221">
        <f>SUM(J70)</f>
        <v>4971.1899999999996</v>
      </c>
      <c r="M70" s="202"/>
      <c r="N70" s="164"/>
      <c r="O70" s="216"/>
      <c r="P70" s="217"/>
    </row>
    <row r="71" spans="1:16" x14ac:dyDescent="0.2">
      <c r="A71" s="20"/>
      <c r="B71" s="324" t="s">
        <v>171</v>
      </c>
      <c r="C71" s="325"/>
      <c r="D71" s="326">
        <v>45838</v>
      </c>
      <c r="E71" s="267"/>
      <c r="F71" s="3">
        <v>0</v>
      </c>
      <c r="G71" s="327">
        <v>0</v>
      </c>
      <c r="H71" s="3">
        <v>0</v>
      </c>
      <c r="I71" s="201" t="s">
        <v>53</v>
      </c>
      <c r="J71" s="3">
        <v>2515605.9900000002</v>
      </c>
      <c r="K71" s="327">
        <f t="shared" si="11"/>
        <v>1</v>
      </c>
      <c r="L71" s="3">
        <f>SUM(J71)</f>
        <v>2515605.9900000002</v>
      </c>
      <c r="M71" s="202"/>
      <c r="N71" s="164"/>
      <c r="O71" s="216"/>
      <c r="P71" s="217"/>
    </row>
    <row r="72" spans="1:16" x14ac:dyDescent="0.2">
      <c r="A72" s="20"/>
      <c r="B72" s="218" t="s">
        <v>139</v>
      </c>
      <c r="C72" s="219"/>
      <c r="D72" s="220">
        <v>45916</v>
      </c>
      <c r="E72" s="267"/>
      <c r="F72" s="221">
        <v>1035667.4</v>
      </c>
      <c r="G72" s="231">
        <f t="shared" ref="G72" si="12">H72/F72</f>
        <v>1</v>
      </c>
      <c r="H72" s="221">
        <v>1035667.4</v>
      </c>
      <c r="I72" s="201" t="s">
        <v>0</v>
      </c>
      <c r="J72" s="221">
        <v>1035667.4</v>
      </c>
      <c r="K72" s="231">
        <f t="shared" ref="K72" si="13">L72/J72</f>
        <v>1</v>
      </c>
      <c r="L72" s="221">
        <v>1035667.4</v>
      </c>
      <c r="M72" s="202"/>
      <c r="N72" s="164"/>
      <c r="O72" s="216"/>
      <c r="P72" s="217"/>
    </row>
    <row r="73" spans="1:16" x14ac:dyDescent="0.2">
      <c r="A73" s="20"/>
      <c r="B73" s="284" t="s">
        <v>139</v>
      </c>
      <c r="C73" s="285"/>
      <c r="D73" s="286">
        <v>45646</v>
      </c>
      <c r="E73" s="267"/>
      <c r="F73" s="289">
        <v>0</v>
      </c>
      <c r="G73" s="288">
        <v>0</v>
      </c>
      <c r="H73" s="289">
        <v>0</v>
      </c>
      <c r="I73" s="201"/>
      <c r="J73" s="289">
        <v>0</v>
      </c>
      <c r="K73" s="288">
        <v>1</v>
      </c>
      <c r="L73" s="289">
        <v>0</v>
      </c>
      <c r="M73" s="202"/>
      <c r="N73" s="164"/>
      <c r="O73" s="216"/>
      <c r="P73" s="217"/>
    </row>
    <row r="74" spans="1:16" x14ac:dyDescent="0.2">
      <c r="A74" s="20"/>
      <c r="D74" s="25"/>
      <c r="E74" s="267"/>
      <c r="F74" s="226">
        <f>SUM(F69:F73)</f>
        <v>3831325.4899999998</v>
      </c>
      <c r="G74" s="230">
        <f t="shared" ref="G74" si="14">H74/F74</f>
        <v>1</v>
      </c>
      <c r="H74" s="226">
        <f>SUM(H69:H73)</f>
        <v>3831325.4899999998</v>
      </c>
      <c r="I74" s="206"/>
      <c r="J74" s="226">
        <f>SUM(J69:J73)</f>
        <v>4043833.81</v>
      </c>
      <c r="K74" s="230">
        <f t="shared" si="11"/>
        <v>1</v>
      </c>
      <c r="L74" s="226">
        <f>SUM(L69:L73)</f>
        <v>4043833.81</v>
      </c>
      <c r="M74" s="228"/>
      <c r="N74" s="164">
        <f>SUM(L74-H74)</f>
        <v>212508.3200000003</v>
      </c>
      <c r="O74" s="216"/>
      <c r="P74" s="217">
        <v>270653.75</v>
      </c>
    </row>
    <row r="75" spans="1:16" x14ac:dyDescent="0.2">
      <c r="A75" s="20"/>
      <c r="D75" s="25"/>
      <c r="E75" s="267"/>
      <c r="F75" s="52"/>
      <c r="G75" s="223"/>
      <c r="H75" s="52"/>
      <c r="I75" s="206"/>
      <c r="J75" s="52"/>
      <c r="K75" s="223"/>
      <c r="L75" s="52"/>
      <c r="M75" s="228"/>
      <c r="N75" s="164"/>
      <c r="O75" s="216"/>
      <c r="P75" s="217"/>
    </row>
    <row r="76" spans="1:16" x14ac:dyDescent="0.2">
      <c r="A76" s="20" t="s">
        <v>190</v>
      </c>
      <c r="B76" t="s">
        <v>97</v>
      </c>
      <c r="D76" s="25">
        <v>45838</v>
      </c>
      <c r="E76" s="264"/>
      <c r="F76" s="3">
        <v>1957174.77</v>
      </c>
      <c r="G76" s="229">
        <f>H76/F76</f>
        <v>1</v>
      </c>
      <c r="H76" s="3">
        <f>SUM(F76)</f>
        <v>1957174.77</v>
      </c>
      <c r="I76" s="201" t="s">
        <v>53</v>
      </c>
      <c r="J76" s="3">
        <v>1975506.93</v>
      </c>
      <c r="K76" s="229">
        <f>L76/J76</f>
        <v>1</v>
      </c>
      <c r="L76" s="3">
        <f>SUM(J76)</f>
        <v>1975506.93</v>
      </c>
      <c r="M76" s="202"/>
      <c r="N76" s="164"/>
      <c r="O76" s="216"/>
      <c r="P76" s="217"/>
    </row>
    <row r="77" spans="1:16" x14ac:dyDescent="0.2">
      <c r="A77" s="20"/>
      <c r="E77" s="264"/>
      <c r="F77" s="226">
        <f>SUM(F76)</f>
        <v>1957174.77</v>
      </c>
      <c r="G77" s="230">
        <f>H77/F77</f>
        <v>1</v>
      </c>
      <c r="H77" s="226">
        <f>SUM(H76)</f>
        <v>1957174.77</v>
      </c>
      <c r="I77" s="206"/>
      <c r="J77" s="226">
        <f>SUM(J76)</f>
        <v>1975506.93</v>
      </c>
      <c r="K77" s="230">
        <f>L77/J77</f>
        <v>1</v>
      </c>
      <c r="L77" s="226">
        <f>SUM(L76)</f>
        <v>1975506.93</v>
      </c>
      <c r="M77" s="228"/>
      <c r="N77" s="164">
        <f>SUM(L77-H77)</f>
        <v>18332.159999999916</v>
      </c>
      <c r="O77" s="216"/>
      <c r="P77" s="217">
        <v>118615.75</v>
      </c>
    </row>
    <row r="78" spans="1:16" x14ac:dyDescent="0.2">
      <c r="A78" s="20"/>
      <c r="D78" s="25"/>
      <c r="E78" s="267"/>
      <c r="F78" s="52"/>
      <c r="G78" s="223"/>
      <c r="H78" s="52"/>
      <c r="I78" s="206"/>
      <c r="J78" s="52"/>
      <c r="K78" s="223"/>
      <c r="L78" s="52"/>
      <c r="M78" s="228"/>
      <c r="N78" s="164"/>
      <c r="O78" s="216"/>
      <c r="P78" s="217"/>
    </row>
    <row r="79" spans="1:16" x14ac:dyDescent="0.2">
      <c r="A79" s="20" t="s">
        <v>55</v>
      </c>
      <c r="B79" t="s">
        <v>97</v>
      </c>
      <c r="D79" s="25">
        <v>45838</v>
      </c>
      <c r="E79" s="268"/>
      <c r="F79" s="10">
        <v>1322872.5</v>
      </c>
      <c r="G79" s="229">
        <f>H79/F79</f>
        <v>1</v>
      </c>
      <c r="H79" s="3">
        <f>SUM(F79)</f>
        <v>1322872.5</v>
      </c>
      <c r="I79" s="201" t="s">
        <v>53</v>
      </c>
      <c r="J79" s="10">
        <v>2275140.2200000002</v>
      </c>
      <c r="K79" s="229">
        <f>L79/J79</f>
        <v>1</v>
      </c>
      <c r="L79" s="3">
        <f>SUM(J79)</f>
        <v>2275140.2200000002</v>
      </c>
      <c r="M79" s="201"/>
      <c r="N79" s="164"/>
      <c r="O79" s="216"/>
      <c r="P79" s="217"/>
    </row>
    <row r="80" spans="1:16" x14ac:dyDescent="0.2">
      <c r="A80" s="20"/>
      <c r="D80" s="25"/>
      <c r="E80" s="268"/>
      <c r="F80" s="232">
        <f>SUM(F79)</f>
        <v>1322872.5</v>
      </c>
      <c r="G80" s="230">
        <f>H80/F80</f>
        <v>1</v>
      </c>
      <c r="H80" s="232">
        <f>SUM(H79)</f>
        <v>1322872.5</v>
      </c>
      <c r="I80" s="206"/>
      <c r="J80" s="232">
        <f>SUM(J79)</f>
        <v>2275140.2200000002</v>
      </c>
      <c r="K80" s="230">
        <f>L80/J80</f>
        <v>1</v>
      </c>
      <c r="L80" s="232">
        <f>SUM(L79)</f>
        <v>2275140.2200000002</v>
      </c>
      <c r="M80" s="206"/>
      <c r="N80" s="164">
        <f>SUM(L80-H80)</f>
        <v>952267.7200000002</v>
      </c>
      <c r="O80" s="216"/>
      <c r="P80" s="217">
        <v>1062489.05</v>
      </c>
    </row>
    <row r="81" spans="1:16" x14ac:dyDescent="0.2">
      <c r="A81" s="20"/>
      <c r="D81" s="25"/>
      <c r="E81" s="267"/>
      <c r="G81" s="229"/>
      <c r="I81" s="201"/>
      <c r="K81" s="229"/>
      <c r="M81" s="202"/>
      <c r="N81" s="164"/>
      <c r="O81" s="216"/>
      <c r="P81" s="217"/>
    </row>
    <row r="82" spans="1:16" x14ac:dyDescent="0.2">
      <c r="A82" s="20" t="s">
        <v>28</v>
      </c>
      <c r="B82" t="s">
        <v>97</v>
      </c>
      <c r="D82" s="25">
        <v>45838</v>
      </c>
      <c r="E82" s="267"/>
      <c r="F82" s="3">
        <v>185721.72</v>
      </c>
      <c r="G82" s="229">
        <f>H82/F82</f>
        <v>1</v>
      </c>
      <c r="H82" s="3">
        <f>SUM(F82)</f>
        <v>185721.72</v>
      </c>
      <c r="I82" s="201" t="s">
        <v>53</v>
      </c>
      <c r="J82" s="3">
        <v>118382</v>
      </c>
      <c r="K82" s="229">
        <f>L82/J82</f>
        <v>1</v>
      </c>
      <c r="L82" s="3">
        <f>SUM(J82)</f>
        <v>118382</v>
      </c>
      <c r="M82" s="202"/>
      <c r="N82" s="164"/>
      <c r="O82" s="216"/>
      <c r="P82" s="217"/>
    </row>
    <row r="83" spans="1:16" x14ac:dyDescent="0.2">
      <c r="A83" s="20"/>
      <c r="D83" s="25"/>
      <c r="E83" s="264"/>
      <c r="F83" s="226">
        <f>SUM(F82)</f>
        <v>185721.72</v>
      </c>
      <c r="G83" s="230">
        <f>H83/F83</f>
        <v>1</v>
      </c>
      <c r="H83" s="226">
        <f>SUM(H82)</f>
        <v>185721.72</v>
      </c>
      <c r="I83" s="206"/>
      <c r="J83" s="226">
        <f>SUM(J82)</f>
        <v>118382</v>
      </c>
      <c r="K83" s="230">
        <f>L83/J83</f>
        <v>1</v>
      </c>
      <c r="L83" s="226">
        <f>SUM(L82)</f>
        <v>118382</v>
      </c>
      <c r="M83" s="228"/>
      <c r="N83" s="164">
        <f>SUM(L83-H83)</f>
        <v>-67339.72</v>
      </c>
      <c r="O83" s="216"/>
      <c r="P83" s="217">
        <v>-15393.85</v>
      </c>
    </row>
    <row r="84" spans="1:16" x14ac:dyDescent="0.2">
      <c r="A84" s="20"/>
      <c r="D84" s="25"/>
      <c r="E84" s="267"/>
      <c r="F84" s="52"/>
      <c r="G84" s="229"/>
      <c r="H84" s="52"/>
      <c r="I84" s="206"/>
      <c r="J84" s="52"/>
      <c r="K84" s="229"/>
      <c r="L84" s="52"/>
      <c r="M84" s="228"/>
      <c r="N84" s="164"/>
      <c r="O84" s="216"/>
      <c r="P84" s="217"/>
    </row>
    <row r="85" spans="1:16" x14ac:dyDescent="0.2">
      <c r="A85" s="20" t="s">
        <v>13</v>
      </c>
      <c r="B85" t="s">
        <v>97</v>
      </c>
      <c r="D85" s="25">
        <v>45838</v>
      </c>
      <c r="E85" s="267"/>
      <c r="F85" s="3">
        <v>2731483.89</v>
      </c>
      <c r="G85" s="229">
        <v>1</v>
      </c>
      <c r="H85" s="3">
        <f>SUM(F85)</f>
        <v>2731483.89</v>
      </c>
      <c r="I85" s="201" t="s">
        <v>53</v>
      </c>
      <c r="J85" s="3">
        <v>2978993.35</v>
      </c>
      <c r="K85" s="229">
        <v>1</v>
      </c>
      <c r="L85" s="3">
        <f>SUM(J85)</f>
        <v>2978993.35</v>
      </c>
      <c r="M85" s="202"/>
      <c r="N85" s="164"/>
      <c r="O85" s="216"/>
      <c r="P85" s="217"/>
    </row>
    <row r="86" spans="1:16" x14ac:dyDescent="0.2">
      <c r="A86" s="20"/>
      <c r="D86" s="25"/>
      <c r="E86" s="264"/>
      <c r="F86" s="226">
        <f>SUM(F85)</f>
        <v>2731483.89</v>
      </c>
      <c r="G86" s="230">
        <v>1</v>
      </c>
      <c r="H86" s="226">
        <f>SUM(H85)</f>
        <v>2731483.89</v>
      </c>
      <c r="I86" s="206"/>
      <c r="J86" s="226">
        <f>SUM(J85)</f>
        <v>2978993.35</v>
      </c>
      <c r="K86" s="230">
        <v>1</v>
      </c>
      <c r="L86" s="226">
        <f>SUM(L85)</f>
        <v>2978993.35</v>
      </c>
      <c r="M86" s="228"/>
      <c r="N86" s="164">
        <f>SUM(L86-H86)</f>
        <v>247509.45999999996</v>
      </c>
      <c r="O86" s="216"/>
      <c r="P86" s="217">
        <v>276543.25</v>
      </c>
    </row>
    <row r="87" spans="1:16" x14ac:dyDescent="0.2">
      <c r="A87" s="20"/>
      <c r="D87" s="25"/>
      <c r="E87" s="267"/>
      <c r="F87" s="52"/>
      <c r="G87" s="223"/>
      <c r="H87" s="52"/>
      <c r="I87" s="206"/>
      <c r="J87" s="52"/>
      <c r="K87" s="223"/>
      <c r="L87" s="52"/>
      <c r="M87" s="228"/>
      <c r="N87" s="164"/>
      <c r="O87" s="216"/>
      <c r="P87" s="217"/>
    </row>
    <row r="88" spans="1:16" outlineLevel="1" x14ac:dyDescent="0.2">
      <c r="A88" s="20" t="s">
        <v>7</v>
      </c>
      <c r="B88" t="s">
        <v>97</v>
      </c>
      <c r="D88" s="25">
        <v>45838</v>
      </c>
      <c r="E88" s="267"/>
      <c r="F88" s="69">
        <v>98568.24</v>
      </c>
      <c r="G88" s="229">
        <f>H88/F88</f>
        <v>1</v>
      </c>
      <c r="H88" s="3">
        <f>SUM(F88)</f>
        <v>98568.24</v>
      </c>
      <c r="I88" s="201" t="s">
        <v>53</v>
      </c>
      <c r="J88" s="69">
        <v>360004.2</v>
      </c>
      <c r="K88" s="229">
        <f>L88/J88</f>
        <v>1</v>
      </c>
      <c r="L88" s="3">
        <f>SUM(J88)</f>
        <v>360004.2</v>
      </c>
      <c r="M88" s="233"/>
      <c r="N88" s="164"/>
      <c r="O88" s="216"/>
      <c r="P88" s="217"/>
    </row>
    <row r="89" spans="1:16" outlineLevel="1" x14ac:dyDescent="0.2">
      <c r="A89" s="20"/>
      <c r="B89" s="218" t="s">
        <v>105</v>
      </c>
      <c r="C89" s="219"/>
      <c r="D89" s="220">
        <v>45838</v>
      </c>
      <c r="E89" s="267"/>
      <c r="F89" s="225">
        <v>9403.4699999999993</v>
      </c>
      <c r="G89" s="231">
        <f>H89/F89</f>
        <v>1</v>
      </c>
      <c r="H89" s="221">
        <f>SUM(F89)</f>
        <v>9403.4699999999993</v>
      </c>
      <c r="I89" s="201" t="s">
        <v>53</v>
      </c>
      <c r="J89" s="225">
        <v>9504.99</v>
      </c>
      <c r="K89" s="231">
        <f>L89/J89</f>
        <v>1</v>
      </c>
      <c r="L89" s="221">
        <f>SUM(J89)</f>
        <v>9504.99</v>
      </c>
      <c r="M89" s="233"/>
      <c r="N89" s="164"/>
      <c r="O89" s="216"/>
      <c r="P89" s="217"/>
    </row>
    <row r="90" spans="1:16" outlineLevel="1" x14ac:dyDescent="0.2">
      <c r="A90" s="20"/>
      <c r="B90" t="s">
        <v>141</v>
      </c>
      <c r="D90" s="25">
        <v>45838</v>
      </c>
      <c r="E90" s="267"/>
      <c r="F90" s="69">
        <v>346693.71</v>
      </c>
      <c r="G90" s="229">
        <f t="shared" ref="G90" si="15">H90/F90</f>
        <v>1</v>
      </c>
      <c r="H90" s="3">
        <f>SUM(F90)</f>
        <v>346693.71</v>
      </c>
      <c r="I90" s="201" t="s">
        <v>53</v>
      </c>
      <c r="J90" s="69">
        <v>350536.34</v>
      </c>
      <c r="K90" s="229">
        <f t="shared" ref="K90" si="16">L90/J90</f>
        <v>1</v>
      </c>
      <c r="L90" s="3">
        <f>SUM(J90)</f>
        <v>350536.34</v>
      </c>
      <c r="M90" s="233"/>
      <c r="N90" s="164"/>
      <c r="O90" s="216"/>
      <c r="P90" s="217"/>
    </row>
    <row r="91" spans="1:16" outlineLevel="1" x14ac:dyDescent="0.2">
      <c r="A91" s="20"/>
      <c r="B91" s="218" t="s">
        <v>139</v>
      </c>
      <c r="C91" s="219"/>
      <c r="D91" s="220">
        <v>45916</v>
      </c>
      <c r="E91" s="267"/>
      <c r="F91" s="225">
        <v>1553501.1</v>
      </c>
      <c r="G91" s="231">
        <v>0</v>
      </c>
      <c r="H91" s="221">
        <v>1553501.1</v>
      </c>
      <c r="I91" s="201"/>
      <c r="J91" s="225">
        <v>1553501.1</v>
      </c>
      <c r="K91" s="231">
        <f>L91/J91</f>
        <v>1</v>
      </c>
      <c r="L91" s="221">
        <v>1553501.1</v>
      </c>
      <c r="M91" s="233"/>
      <c r="N91" s="164"/>
      <c r="O91" s="216"/>
      <c r="P91" s="217"/>
    </row>
    <row r="92" spans="1:16" outlineLevel="1" x14ac:dyDescent="0.2">
      <c r="A92" s="20"/>
      <c r="B92" s="284" t="s">
        <v>139</v>
      </c>
      <c r="C92" s="285"/>
      <c r="D92" s="286">
        <v>45646</v>
      </c>
      <c r="E92" s="267"/>
      <c r="F92" s="287">
        <v>0</v>
      </c>
      <c r="G92" s="288">
        <v>0</v>
      </c>
      <c r="H92" s="289">
        <v>0</v>
      </c>
      <c r="I92" s="201"/>
      <c r="J92" s="287">
        <v>0</v>
      </c>
      <c r="K92" s="288">
        <v>1</v>
      </c>
      <c r="L92" s="289">
        <v>0</v>
      </c>
      <c r="M92" s="233"/>
      <c r="N92" s="164"/>
      <c r="O92" s="216"/>
      <c r="P92" s="217"/>
    </row>
    <row r="93" spans="1:16" x14ac:dyDescent="0.2">
      <c r="A93" s="20"/>
      <c r="E93" s="267"/>
      <c r="F93" s="226">
        <f>SUM(F88:F92)</f>
        <v>2008166.52</v>
      </c>
      <c r="G93" s="230">
        <f>H93/F93</f>
        <v>1</v>
      </c>
      <c r="H93" s="226">
        <f>SUM(H88:H92)</f>
        <v>2008166.52</v>
      </c>
      <c r="I93" s="206"/>
      <c r="J93" s="226">
        <f>SUM(J88:J92)</f>
        <v>2273546.63</v>
      </c>
      <c r="K93" s="230">
        <f>L93/J93</f>
        <v>1</v>
      </c>
      <c r="L93" s="226">
        <f>SUM(L88:L92)</f>
        <v>2273546.63</v>
      </c>
      <c r="M93" s="228"/>
      <c r="N93" s="164">
        <f>SUM(L93-H93)</f>
        <v>265380.10999999987</v>
      </c>
      <c r="O93" s="216"/>
      <c r="P93" s="217">
        <v>143905</v>
      </c>
    </row>
    <row r="94" spans="1:16" x14ac:dyDescent="0.2">
      <c r="A94" s="20"/>
      <c r="D94" s="25"/>
      <c r="E94" s="267"/>
      <c r="G94" s="229"/>
      <c r="I94" s="201"/>
      <c r="K94" s="229"/>
      <c r="M94" s="202"/>
      <c r="N94" s="164"/>
      <c r="O94" s="216"/>
      <c r="P94" s="217"/>
    </row>
    <row r="95" spans="1:16" x14ac:dyDescent="0.2">
      <c r="A95" s="20" t="s">
        <v>14</v>
      </c>
      <c r="B95" t="s">
        <v>97</v>
      </c>
      <c r="D95" s="25">
        <v>45838</v>
      </c>
      <c r="E95" s="267"/>
      <c r="F95" s="3">
        <v>20167651.91</v>
      </c>
      <c r="G95" s="229">
        <f>H95/F95</f>
        <v>1</v>
      </c>
      <c r="H95" s="3">
        <f>SUM(F95)</f>
        <v>20167651.91</v>
      </c>
      <c r="I95" s="201" t="s">
        <v>53</v>
      </c>
      <c r="J95" s="3">
        <v>17508152.23</v>
      </c>
      <c r="K95" s="229">
        <f>L95/J95</f>
        <v>1</v>
      </c>
      <c r="L95" s="3">
        <f>SUM(J95)</f>
        <v>17508152.23</v>
      </c>
      <c r="M95" s="202"/>
      <c r="N95" s="164"/>
      <c r="O95" s="216"/>
      <c r="P95" s="217"/>
    </row>
    <row r="96" spans="1:16" x14ac:dyDescent="0.2">
      <c r="D96" s="35"/>
      <c r="E96" s="264"/>
      <c r="F96" s="226">
        <f>SUM(F95)</f>
        <v>20167651.91</v>
      </c>
      <c r="G96" s="230">
        <f>H96/F96</f>
        <v>1</v>
      </c>
      <c r="H96" s="226">
        <f>SUM(H95)</f>
        <v>20167651.91</v>
      </c>
      <c r="I96" s="206"/>
      <c r="J96" s="226">
        <f>SUM(J95)</f>
        <v>17508152.23</v>
      </c>
      <c r="K96" s="230">
        <f>L96/J96</f>
        <v>1</v>
      </c>
      <c r="L96" s="226">
        <f>SUM(L95)</f>
        <v>17508152.23</v>
      </c>
      <c r="M96" s="228"/>
      <c r="N96" s="164">
        <f>SUM(L96-H96)</f>
        <v>-2659499.6799999997</v>
      </c>
      <c r="O96" s="216"/>
      <c r="P96" s="217">
        <v>-2928241.72</v>
      </c>
    </row>
    <row r="97" spans="1:16" x14ac:dyDescent="0.2">
      <c r="A97" t="s">
        <v>110</v>
      </c>
      <c r="D97" s="25"/>
      <c r="E97" s="264"/>
      <c r="G97" s="229"/>
      <c r="I97" s="201"/>
      <c r="K97" s="229"/>
      <c r="M97" s="202"/>
      <c r="N97" s="164"/>
      <c r="O97" s="216"/>
      <c r="P97" s="217"/>
    </row>
    <row r="98" spans="1:16" ht="13.5" thickBot="1" x14ac:dyDescent="0.25">
      <c r="A98" s="39" t="s">
        <v>56</v>
      </c>
      <c r="B98" s="42"/>
      <c r="C98" s="163"/>
      <c r="D98" s="41"/>
      <c r="E98" s="269"/>
      <c r="F98" s="57">
        <f>SUM(F96,F86,F67,F63,F83,F77,F59,F80,F74,F93,F56,F46,F53,F43,F38)</f>
        <v>109413285.59999999</v>
      </c>
      <c r="G98" s="234"/>
      <c r="H98" s="57">
        <f>SUM(H96,H86,H67,H63,H83,H77,H59,H80,H74,H93,H56,H46,H53,H43,H38)</f>
        <v>109401769.14999999</v>
      </c>
      <c r="I98" s="58"/>
      <c r="J98" s="57">
        <f>SUM(J96,J86,J67,J63,J83,J77,J59,J80,J74,J93,J56,J46,J53,J43,J38,J49)</f>
        <v>101972376.92999999</v>
      </c>
      <c r="K98" s="234"/>
      <c r="L98" s="57">
        <f>SUM(L96,L86,L67,L63,L83,L77,L59,L80,L74,L93,L56,L46,L53,L43,L38,L49)</f>
        <v>101961143.23</v>
      </c>
      <c r="M98" s="59"/>
      <c r="N98" s="165">
        <f t="shared" ref="N98" si="17">SUM(L98-H98)</f>
        <v>-7440625.9199999869</v>
      </c>
      <c r="O98" s="216"/>
      <c r="P98" s="235">
        <f>SUM(P6:P97)</f>
        <v>-13135464.280000001</v>
      </c>
    </row>
    <row r="99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2:P4"/>
  </mergeCells>
  <phoneticPr fontId="5" type="noConversion"/>
  <printOptions gridLines="1"/>
  <pageMargins left="0.5" right="0.5" top="0.3" bottom="0.3" header="0" footer="0.05"/>
  <pageSetup paperSize="5" scale="85" firstPageNumber="5" fitToHeight="0" orientation="landscape" useFirstPageNumber="1" r:id="rId1"/>
  <headerFooter alignWithMargins="0">
    <oddHeader>&amp;CMarket Value Comparison</oddHeader>
    <oddFooter>&amp;C&amp;P</oddFooter>
  </headerFooter>
  <ignoredErrors>
    <ignoredError sqref="I44:K44 I94:K94 I75:K75 I56:K57 I46:K47 I45 K45 I53:K54 I52 K52 K55 I59:K60 I58 K58 I63:K64 I62 K62 I67:K68 I66 K66 I69:I70 K69:K70 I74 K74 I77:K78 I76 K76 I80:K81 I79 K79 I83:K84 I82 K82 I86:K87 I85 K85 I88:I90 K88:K90 I93 K93 G97:K97 I95 K95 I96:K96 G6:G11 G38:G41 I43 K43 I55 G92:G96 G52:G54 G13 G66:G70 G74:G90 G62:G64 K38 G43:G47 K49 G98:I98 K98 G55:G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2025-08-06T21:14:06Z</cp:lastPrinted>
  <dcterms:created xsi:type="dcterms:W3CDTF">2010-07-30T14:08:17Z</dcterms:created>
  <dcterms:modified xsi:type="dcterms:W3CDTF">2025-08-06T21:15:01Z</dcterms:modified>
</cp:coreProperties>
</file>