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1574" documentId="8_{18A9D568-092D-4085-994D-A12802F87DCC}" xr6:coauthVersionLast="47" xr6:coauthVersionMax="47" xr10:uidLastSave="{4473D6A7-0BBD-47EA-A587-3B404D7B466C}"/>
  <bookViews>
    <workbookView xWindow="-11460" yWindow="16080" windowWidth="51840" windowHeight="21120" tabRatio="272" xr2:uid="{00000000-000D-0000-FFFF-FFFF00000000}"/>
  </bookViews>
  <sheets>
    <sheet name="Cover" sheetId="4" r:id="rId1"/>
    <sheet name="Gov Code" sheetId="5" r:id="rId2"/>
    <sheet name="Recap Sheet" sheetId="1" r:id="rId3"/>
    <sheet name="Taylor County Security Holdings" sheetId="2" r:id="rId4"/>
    <sheet name="Market Comp" sheetId="3" r:id="rId5"/>
  </sheets>
  <definedNames>
    <definedName name="_xlnm.Print_Area" localSheetId="0">Cover!$A$1:$L$38</definedName>
    <definedName name="_xlnm.Print_Area" localSheetId="1">'Gov Code'!$A$1:$P$32</definedName>
    <definedName name="_xlnm.Print_Area" localSheetId="4">'Market Comp'!$A$1:$P$98</definedName>
    <definedName name="_xlnm.Print_Area" localSheetId="2">'Recap Sheet'!$A$1:$L$45</definedName>
    <definedName name="_xlnm.Print_Area" localSheetId="3">'Taylor County Security Holdings'!$A$1:$M$157</definedName>
    <definedName name="_xlnm.Print_Titles" localSheetId="4">'Market Comp'!$1:$5</definedName>
    <definedName name="_xlnm.Print_Titles" localSheetId="3">'Taylor County Security Holdings'!$4:$6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19" i="1"/>
  <c r="H13" i="1"/>
  <c r="J9" i="1"/>
  <c r="I9" i="1"/>
  <c r="H9" i="1"/>
  <c r="J78" i="3"/>
  <c r="F78" i="3"/>
  <c r="K77" i="3"/>
  <c r="G73" i="3"/>
  <c r="G27" i="3"/>
  <c r="G20" i="3"/>
  <c r="G22" i="3"/>
  <c r="G21" i="3"/>
  <c r="G33" i="3"/>
  <c r="J74" i="3"/>
  <c r="F74" i="3"/>
  <c r="L67" i="3"/>
  <c r="K67" i="3"/>
  <c r="J68" i="3"/>
  <c r="F68" i="3"/>
  <c r="J47" i="3"/>
  <c r="F47" i="3"/>
  <c r="L46" i="3"/>
  <c r="K46" i="3"/>
  <c r="H46" i="3"/>
  <c r="K25" i="3"/>
  <c r="K23" i="3"/>
  <c r="K26" i="3"/>
  <c r="K24" i="3"/>
  <c r="J35" i="3"/>
  <c r="F35" i="3"/>
  <c r="H34" i="3"/>
  <c r="H72" i="3"/>
  <c r="G72" i="3" s="1"/>
  <c r="H71" i="3"/>
  <c r="H70" i="3"/>
  <c r="H45" i="3"/>
  <c r="G45" i="3" s="1"/>
  <c r="F96" i="3"/>
  <c r="F93" i="3"/>
  <c r="F87" i="3"/>
  <c r="F84" i="3"/>
  <c r="F81" i="3"/>
  <c r="F63" i="3"/>
  <c r="F59" i="3"/>
  <c r="F56" i="3"/>
  <c r="F51" i="3"/>
  <c r="F43" i="3"/>
  <c r="F40" i="3"/>
  <c r="Q70" i="2"/>
  <c r="Q113" i="2"/>
  <c r="Q104" i="2"/>
  <c r="S104" i="2" s="1"/>
  <c r="J113" i="2"/>
  <c r="J70" i="2"/>
  <c r="G70" i="2"/>
  <c r="G113" i="2"/>
  <c r="I151" i="2"/>
  <c r="I150" i="2"/>
  <c r="I149" i="2"/>
  <c r="H151" i="2"/>
  <c r="H150" i="2"/>
  <c r="H149" i="2"/>
  <c r="H141" i="2"/>
  <c r="I141" i="2"/>
  <c r="H136" i="2"/>
  <c r="I136" i="2"/>
  <c r="H133" i="2"/>
  <c r="I133" i="2"/>
  <c r="H132" i="2"/>
  <c r="I132" i="2"/>
  <c r="H131" i="2"/>
  <c r="I131" i="2"/>
  <c r="H130" i="2"/>
  <c r="I130" i="2"/>
  <c r="H129" i="2"/>
  <c r="I129" i="2"/>
  <c r="H128" i="2"/>
  <c r="I128" i="2"/>
  <c r="H126" i="2"/>
  <c r="I126" i="2"/>
  <c r="H125" i="2"/>
  <c r="I125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S121" i="2"/>
  <c r="S120" i="2"/>
  <c r="S108" i="2"/>
  <c r="S119" i="2"/>
  <c r="S118" i="2"/>
  <c r="S117" i="2"/>
  <c r="S116" i="2"/>
  <c r="S115" i="2"/>
  <c r="S114" i="2"/>
  <c r="S112" i="2"/>
  <c r="S111" i="2"/>
  <c r="S110" i="2"/>
  <c r="S109" i="2"/>
  <c r="S107" i="2"/>
  <c r="S106" i="2"/>
  <c r="S105" i="2"/>
  <c r="S97" i="2"/>
  <c r="S98" i="2"/>
  <c r="S96" i="2"/>
  <c r="S95" i="2"/>
  <c r="S94" i="2"/>
  <c r="S91" i="2"/>
  <c r="S88" i="2"/>
  <c r="S85" i="2"/>
  <c r="S77" i="2"/>
  <c r="S76" i="2"/>
  <c r="S78" i="2"/>
  <c r="S75" i="2"/>
  <c r="S74" i="2"/>
  <c r="S71" i="2"/>
  <c r="S67" i="2"/>
  <c r="S64" i="2"/>
  <c r="S61" i="2"/>
  <c r="S58" i="2"/>
  <c r="S55" i="2"/>
  <c r="S54" i="2"/>
  <c r="S51" i="2"/>
  <c r="S48" i="2"/>
  <c r="S4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2" i="2"/>
  <c r="S11" i="2"/>
  <c r="S10" i="2"/>
  <c r="S9" i="2"/>
  <c r="S8" i="2"/>
  <c r="Q14" i="2"/>
  <c r="S14" i="2" s="1"/>
  <c r="Q13" i="2"/>
  <c r="S13" i="2" s="1"/>
  <c r="Q7" i="2"/>
  <c r="S7" i="2" s="1"/>
  <c r="S43" i="2"/>
  <c r="S42" i="2"/>
  <c r="S41" i="2"/>
  <c r="S40" i="2"/>
  <c r="S39" i="2"/>
  <c r="S38" i="2"/>
  <c r="S37" i="2"/>
  <c r="S36" i="2"/>
  <c r="D82" i="2"/>
  <c r="D71" i="2"/>
  <c r="H124" i="2"/>
  <c r="I124" i="2"/>
  <c r="K121" i="2"/>
  <c r="K120" i="2"/>
  <c r="K108" i="2"/>
  <c r="K119" i="2"/>
  <c r="K118" i="2"/>
  <c r="K117" i="2"/>
  <c r="K116" i="2"/>
  <c r="K115" i="2"/>
  <c r="K114" i="2"/>
  <c r="K112" i="2"/>
  <c r="K111" i="2"/>
  <c r="K110" i="2"/>
  <c r="K109" i="2"/>
  <c r="K107" i="2"/>
  <c r="K106" i="2"/>
  <c r="K105" i="2"/>
  <c r="H116" i="2"/>
  <c r="I116" i="2"/>
  <c r="F116" i="2"/>
  <c r="F115" i="2"/>
  <c r="D116" i="2"/>
  <c r="F121" i="2"/>
  <c r="F120" i="2"/>
  <c r="F108" i="2"/>
  <c r="F119" i="2"/>
  <c r="F118" i="2"/>
  <c r="F117" i="2"/>
  <c r="F114" i="2"/>
  <c r="F113" i="2"/>
  <c r="F112" i="2"/>
  <c r="F111" i="2"/>
  <c r="F110" i="2"/>
  <c r="F109" i="2"/>
  <c r="F107" i="2"/>
  <c r="F106" i="2"/>
  <c r="F141" i="2"/>
  <c r="F129" i="2"/>
  <c r="F136" i="2"/>
  <c r="F135" i="2"/>
  <c r="F134" i="2"/>
  <c r="F133" i="2"/>
  <c r="F132" i="2"/>
  <c r="F131" i="2"/>
  <c r="F130" i="2"/>
  <c r="F128" i="2"/>
  <c r="F127" i="2"/>
  <c r="F126" i="2"/>
  <c r="F125" i="2"/>
  <c r="F124" i="2"/>
  <c r="F154" i="2"/>
  <c r="F153" i="2"/>
  <c r="F152" i="2"/>
  <c r="F151" i="2"/>
  <c r="F150" i="2"/>
  <c r="F149" i="2"/>
  <c r="I152" i="2"/>
  <c r="H152" i="2"/>
  <c r="F148" i="2"/>
  <c r="F147" i="2"/>
  <c r="F146" i="2"/>
  <c r="F145" i="2"/>
  <c r="F144" i="2"/>
  <c r="F143" i="2"/>
  <c r="F142" i="2"/>
  <c r="F140" i="2"/>
  <c r="F139" i="2"/>
  <c r="F138" i="2"/>
  <c r="F137" i="2"/>
  <c r="F123" i="2"/>
  <c r="F122" i="2"/>
  <c r="F105" i="2"/>
  <c r="D104" i="2"/>
  <c r="J104" i="2"/>
  <c r="K104" i="2" s="1"/>
  <c r="J7" i="2"/>
  <c r="I82" i="2"/>
  <c r="H82" i="2"/>
  <c r="F82" i="2"/>
  <c r="F71" i="2"/>
  <c r="K71" i="2"/>
  <c r="I71" i="2"/>
  <c r="H71" i="2"/>
  <c r="K55" i="2"/>
  <c r="I55" i="2"/>
  <c r="H55" i="2"/>
  <c r="F55" i="2"/>
  <c r="J13" i="2"/>
  <c r="J14" i="2"/>
  <c r="K14" i="2" s="1"/>
  <c r="K27" i="2"/>
  <c r="K25" i="2"/>
  <c r="K23" i="2"/>
  <c r="K26" i="2"/>
  <c r="K24" i="2"/>
  <c r="K22" i="2"/>
  <c r="K21" i="2"/>
  <c r="K20" i="2"/>
  <c r="K19" i="2"/>
  <c r="K18" i="2"/>
  <c r="K17" i="2"/>
  <c r="K16" i="2"/>
  <c r="K15" i="2"/>
  <c r="R44" i="2"/>
  <c r="P44" i="2"/>
  <c r="O44" i="2"/>
  <c r="N44" i="2"/>
  <c r="G44" i="2"/>
  <c r="K43" i="2"/>
  <c r="H14" i="2"/>
  <c r="I14" i="2" s="1"/>
  <c r="H74" i="3" l="1"/>
  <c r="H47" i="3"/>
  <c r="G47" i="3" s="1"/>
  <c r="Q44" i="2"/>
  <c r="S44" i="2" s="1"/>
  <c r="J44" i="2"/>
  <c r="F76" i="2" l="1"/>
  <c r="F48" i="2"/>
  <c r="P113" i="2"/>
  <c r="P70" i="2"/>
  <c r="S70" i="2" s="1"/>
  <c r="K16" i="1"/>
  <c r="K15" i="1"/>
  <c r="F13" i="1"/>
  <c r="L45" i="3"/>
  <c r="L72" i="3"/>
  <c r="K72" i="3" s="1"/>
  <c r="K21" i="3"/>
  <c r="K22" i="3"/>
  <c r="K20" i="3"/>
  <c r="G18" i="3"/>
  <c r="G16" i="3"/>
  <c r="G15" i="3"/>
  <c r="G19" i="3"/>
  <c r="G17" i="3"/>
  <c r="K45" i="3" l="1"/>
  <c r="L47" i="3"/>
  <c r="P155" i="2"/>
  <c r="S113" i="2"/>
  <c r="K113" i="2"/>
  <c r="N47" i="3"/>
  <c r="K47" i="3" l="1"/>
  <c r="G155" i="2" l="1"/>
  <c r="D54" i="2"/>
  <c r="K54" i="2"/>
  <c r="I54" i="2"/>
  <c r="L13" i="1" s="1"/>
  <c r="H54" i="2"/>
  <c r="F54" i="2"/>
  <c r="H67" i="2"/>
  <c r="H70" i="2"/>
  <c r="K76" i="2" l="1"/>
  <c r="H76" i="2"/>
  <c r="I146" i="2" l="1"/>
  <c r="H146" i="2"/>
  <c r="K17" i="3"/>
  <c r="K19" i="3"/>
  <c r="H12" i="3"/>
  <c r="K18" i="3"/>
  <c r="K16" i="3"/>
  <c r="G32" i="3"/>
  <c r="F98" i="3"/>
  <c r="G157" i="2" l="1"/>
  <c r="K15" i="3"/>
  <c r="H39" i="3"/>
  <c r="G39" i="3" s="1"/>
  <c r="H105" i="2" l="1"/>
  <c r="I140" i="2" l="1"/>
  <c r="H140" i="2"/>
  <c r="Q155" i="2"/>
  <c r="Q157" i="2" s="1"/>
  <c r="P157" i="2"/>
  <c r="O155" i="2"/>
  <c r="O157" i="2" s="1"/>
  <c r="N155" i="2"/>
  <c r="I123" i="2"/>
  <c r="H123" i="2"/>
  <c r="J40" i="3"/>
  <c r="L39" i="3"/>
  <c r="K39" i="3" s="1"/>
  <c r="H95" i="3"/>
  <c r="H96" i="3" s="1"/>
  <c r="H91" i="3"/>
  <c r="G91" i="3" s="1"/>
  <c r="H90" i="3"/>
  <c r="G90" i="3" s="1"/>
  <c r="H89" i="3"/>
  <c r="H86" i="3"/>
  <c r="H87" i="3" s="1"/>
  <c r="H83" i="3"/>
  <c r="H84" i="3" s="1"/>
  <c r="H80" i="3"/>
  <c r="H81" i="3" s="1"/>
  <c r="H76" i="3"/>
  <c r="H78" i="3" s="1"/>
  <c r="G71" i="3"/>
  <c r="H66" i="3"/>
  <c r="H68" i="3" s="1"/>
  <c r="H62" i="3"/>
  <c r="H63" i="3" s="1"/>
  <c r="H58" i="3"/>
  <c r="H59" i="3" s="1"/>
  <c r="H55" i="3"/>
  <c r="H56" i="3" s="1"/>
  <c r="H50" i="3"/>
  <c r="H51" i="3" s="1"/>
  <c r="H42" i="3"/>
  <c r="H43" i="3" s="1"/>
  <c r="H38" i="3"/>
  <c r="H40" i="3" s="1"/>
  <c r="G14" i="3"/>
  <c r="G31" i="3"/>
  <c r="G30" i="3"/>
  <c r="G29" i="3"/>
  <c r="G28" i="3"/>
  <c r="H13" i="3"/>
  <c r="H11" i="3"/>
  <c r="G11" i="3" s="1"/>
  <c r="H10" i="3"/>
  <c r="G10" i="3" s="1"/>
  <c r="H9" i="3"/>
  <c r="G9" i="3" s="1"/>
  <c r="H8" i="3"/>
  <c r="G8" i="3" s="1"/>
  <c r="H7" i="3"/>
  <c r="G7" i="3" s="1"/>
  <c r="H6" i="3"/>
  <c r="H35" i="3" l="1"/>
  <c r="G35" i="3" s="1"/>
  <c r="S155" i="2"/>
  <c r="G84" i="3"/>
  <c r="G42" i="3"/>
  <c r="G43" i="3"/>
  <c r="G51" i="3"/>
  <c r="G50" i="3"/>
  <c r="G76" i="3"/>
  <c r="G66" i="3"/>
  <c r="G38" i="3"/>
  <c r="G68" i="3"/>
  <c r="G63" i="3"/>
  <c r="G40" i="3"/>
  <c r="G59" i="3"/>
  <c r="G62" i="3"/>
  <c r="G56" i="3"/>
  <c r="G78" i="3"/>
  <c r="G74" i="3"/>
  <c r="G55" i="3"/>
  <c r="H93" i="3"/>
  <c r="G93" i="3" s="1"/>
  <c r="G58" i="3"/>
  <c r="G81" i="3"/>
  <c r="G70" i="3"/>
  <c r="G80" i="3"/>
  <c r="G96" i="3"/>
  <c r="G83" i="3"/>
  <c r="G6" i="3"/>
  <c r="G89" i="3"/>
  <c r="G95" i="3"/>
  <c r="H98" i="3" l="1"/>
  <c r="K48" i="2"/>
  <c r="I48" i="2"/>
  <c r="H48" i="2"/>
  <c r="H13" i="2" l="1"/>
  <c r="H12" i="2"/>
  <c r="I12" i="2" s="1"/>
  <c r="I13" i="2" l="1"/>
  <c r="F14" i="1"/>
  <c r="P98" i="3"/>
  <c r="J93" i="3" l="1"/>
  <c r="J43" i="3"/>
  <c r="L11" i="3"/>
  <c r="K11" i="3" s="1"/>
  <c r="L10" i="3"/>
  <c r="K10" i="3" s="1"/>
  <c r="K97" i="2" l="1"/>
  <c r="K78" i="2"/>
  <c r="K11" i="2" l="1"/>
  <c r="H11" i="2"/>
  <c r="I11" i="2" s="1"/>
  <c r="K12" i="2"/>
  <c r="K13" i="2"/>
  <c r="E26" i="1" l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2" i="1"/>
  <c r="F11" i="1"/>
  <c r="G11" i="1" s="1"/>
  <c r="F10" i="1"/>
  <c r="D26" i="1"/>
  <c r="C26" i="1"/>
  <c r="B26" i="1"/>
  <c r="J56" i="3"/>
  <c r="K14" i="3"/>
  <c r="L12" i="3"/>
  <c r="K12" i="3" s="1"/>
  <c r="I143" i="2"/>
  <c r="H143" i="2"/>
  <c r="I142" i="2"/>
  <c r="H142" i="2"/>
  <c r="H104" i="2"/>
  <c r="F104" i="2"/>
  <c r="F88" i="2"/>
  <c r="F81" i="2"/>
  <c r="F64" i="2"/>
  <c r="F85" i="2"/>
  <c r="F61" i="2"/>
  <c r="F51" i="2"/>
  <c r="F58" i="2"/>
  <c r="F94" i="2"/>
  <c r="F95" i="2"/>
  <c r="F96" i="2"/>
  <c r="F75" i="2"/>
  <c r="F74" i="2"/>
  <c r="F67" i="2"/>
  <c r="F91" i="2"/>
  <c r="F70" i="2"/>
  <c r="F47" i="2"/>
  <c r="F9" i="1" l="1"/>
  <c r="F26" i="1" l="1"/>
  <c r="G9" i="1"/>
  <c r="H10" i="2"/>
  <c r="I10" i="2" s="1"/>
  <c r="H9" i="2"/>
  <c r="I9" i="2" s="1"/>
  <c r="H8" i="2"/>
  <c r="I8" i="2" s="1"/>
  <c r="H7" i="2"/>
  <c r="L95" i="3"/>
  <c r="L86" i="3"/>
  <c r="L66" i="3"/>
  <c r="L68" i="3" s="1"/>
  <c r="L62" i="3"/>
  <c r="L83" i="3"/>
  <c r="L76" i="3"/>
  <c r="L78" i="3" s="1"/>
  <c r="L58" i="3"/>
  <c r="L80" i="3"/>
  <c r="L71" i="3"/>
  <c r="L70" i="3"/>
  <c r="L91" i="3"/>
  <c r="L90" i="3"/>
  <c r="L89" i="3"/>
  <c r="L55" i="3"/>
  <c r="L56" i="3" s="1"/>
  <c r="L42" i="3"/>
  <c r="L50" i="3"/>
  <c r="L38" i="3"/>
  <c r="L40" i="3" s="1"/>
  <c r="L9" i="3"/>
  <c r="L8" i="3"/>
  <c r="L7" i="3"/>
  <c r="L6" i="3"/>
  <c r="L35" i="3" s="1"/>
  <c r="J103" i="2"/>
  <c r="G103" i="2"/>
  <c r="J155" i="2"/>
  <c r="K155" i="2" s="1"/>
  <c r="I120" i="2"/>
  <c r="I121" i="2"/>
  <c r="I119" i="2"/>
  <c r="I118" i="2"/>
  <c r="I147" i="2"/>
  <c r="I117" i="2"/>
  <c r="I144" i="2"/>
  <c r="I115" i="2"/>
  <c r="I114" i="2"/>
  <c r="I112" i="2"/>
  <c r="I113" i="2"/>
  <c r="I111" i="2"/>
  <c r="I110" i="2"/>
  <c r="I137" i="2"/>
  <c r="I109" i="2"/>
  <c r="I108" i="2"/>
  <c r="I135" i="2"/>
  <c r="I148" i="2"/>
  <c r="I145" i="2"/>
  <c r="I139" i="2"/>
  <c r="I138" i="2"/>
  <c r="I134" i="2"/>
  <c r="I127" i="2"/>
  <c r="I107" i="2"/>
  <c r="I106" i="2"/>
  <c r="I122" i="2"/>
  <c r="I105" i="2"/>
  <c r="I104" i="2"/>
  <c r="I70" i="2"/>
  <c r="I91" i="2"/>
  <c r="H23" i="1" s="1"/>
  <c r="I67" i="2"/>
  <c r="H21" i="1" s="1"/>
  <c r="I88" i="2"/>
  <c r="H20" i="1" s="1"/>
  <c r="I81" i="2"/>
  <c r="I64" i="2"/>
  <c r="H18" i="1" s="1"/>
  <c r="I85" i="2"/>
  <c r="H17" i="1" s="1"/>
  <c r="I75" i="2"/>
  <c r="I74" i="2"/>
  <c r="H16" i="1" s="1"/>
  <c r="I95" i="2"/>
  <c r="I96" i="2"/>
  <c r="I94" i="2"/>
  <c r="I61" i="2"/>
  <c r="H14" i="1" s="1"/>
  <c r="I51" i="2"/>
  <c r="H12" i="1" s="1"/>
  <c r="I58" i="2"/>
  <c r="H120" i="2"/>
  <c r="H121" i="2"/>
  <c r="H119" i="2"/>
  <c r="H118" i="2"/>
  <c r="H147" i="2"/>
  <c r="H117" i="2"/>
  <c r="H144" i="2"/>
  <c r="H115" i="2"/>
  <c r="H114" i="2"/>
  <c r="H112" i="2"/>
  <c r="H113" i="2"/>
  <c r="H111" i="2"/>
  <c r="H110" i="2"/>
  <c r="H137" i="2"/>
  <c r="H109" i="2"/>
  <c r="H108" i="2"/>
  <c r="H135" i="2"/>
  <c r="H148" i="2"/>
  <c r="H145" i="2"/>
  <c r="H139" i="2"/>
  <c r="H138" i="2"/>
  <c r="H134" i="2"/>
  <c r="H127" i="2"/>
  <c r="H107" i="2"/>
  <c r="H106" i="2"/>
  <c r="H122" i="2"/>
  <c r="H91" i="2"/>
  <c r="H88" i="2"/>
  <c r="H81" i="2"/>
  <c r="H64" i="2"/>
  <c r="H85" i="2"/>
  <c r="H75" i="2"/>
  <c r="H74" i="2"/>
  <c r="H96" i="2"/>
  <c r="H95" i="2"/>
  <c r="H94" i="2"/>
  <c r="H61" i="2"/>
  <c r="H51" i="2"/>
  <c r="H58" i="2"/>
  <c r="H11" i="1" s="1"/>
  <c r="I47" i="2"/>
  <c r="H10" i="1" s="1"/>
  <c r="H47" i="2"/>
  <c r="D70" i="2"/>
  <c r="D91" i="2"/>
  <c r="D67" i="2"/>
  <c r="D88" i="2"/>
  <c r="D81" i="2"/>
  <c r="D64" i="2"/>
  <c r="D85" i="2"/>
  <c r="D74" i="2"/>
  <c r="D94" i="2"/>
  <c r="D61" i="2"/>
  <c r="D51" i="2"/>
  <c r="D58" i="2"/>
  <c r="D47" i="2"/>
  <c r="L74" i="3" l="1"/>
  <c r="H15" i="1"/>
  <c r="H44" i="2"/>
  <c r="K35" i="3"/>
  <c r="I7" i="2"/>
  <c r="I44" i="2" s="1"/>
  <c r="N157" i="2"/>
  <c r="S157" i="2" s="1"/>
  <c r="L93" i="3"/>
  <c r="H103" i="2"/>
  <c r="I103" i="2"/>
  <c r="I155" i="2"/>
  <c r="H24" i="1" s="1"/>
  <c r="K8" i="2"/>
  <c r="K9" i="2"/>
  <c r="K10" i="2"/>
  <c r="N35" i="3" l="1"/>
  <c r="I157" i="2"/>
  <c r="L43" i="3" l="1"/>
  <c r="L51" i="3"/>
  <c r="N40" i="3"/>
  <c r="J51" i="3"/>
  <c r="L81" i="3"/>
  <c r="J81" i="3"/>
  <c r="L96" i="3"/>
  <c r="L87" i="3"/>
  <c r="L63" i="3"/>
  <c r="L84" i="3"/>
  <c r="L59" i="3"/>
  <c r="J59" i="3"/>
  <c r="J84" i="3"/>
  <c r="J63" i="3"/>
  <c r="J87" i="3"/>
  <c r="J96" i="3"/>
  <c r="J98" i="3" l="1"/>
  <c r="N51" i="3"/>
  <c r="L98" i="3"/>
  <c r="K56" i="3"/>
  <c r="H155" i="2" l="1"/>
  <c r="H157" i="2" s="1"/>
  <c r="K91" i="3" l="1"/>
  <c r="K98" i="2" l="1"/>
  <c r="K67" i="2"/>
  <c r="K91" i="2"/>
  <c r="K70" i="2"/>
  <c r="K58" i="2"/>
  <c r="K51" i="2"/>
  <c r="K61" i="2"/>
  <c r="K94" i="2"/>
  <c r="K95" i="2"/>
  <c r="K96" i="2"/>
  <c r="K74" i="2"/>
  <c r="K75" i="2"/>
  <c r="K77" i="2"/>
  <c r="K85" i="2"/>
  <c r="K64" i="2"/>
  <c r="K47" i="2"/>
  <c r="K66" i="3" l="1"/>
  <c r="K68" i="3"/>
  <c r="N87" i="3"/>
  <c r="K95" i="3"/>
  <c r="K96" i="3"/>
  <c r="N98" i="3"/>
  <c r="K59" i="3"/>
  <c r="K51" i="3" l="1"/>
  <c r="N68" i="3"/>
  <c r="K74" i="3"/>
  <c r="N96" i="3"/>
  <c r="K43" i="3"/>
  <c r="K81" i="3"/>
  <c r="K78" i="3"/>
  <c r="K84" i="3"/>
  <c r="K63" i="3"/>
  <c r="K93" i="3"/>
  <c r="H26" i="1" l="1"/>
  <c r="I26" i="1"/>
  <c r="J26" i="1"/>
  <c r="K26" i="1"/>
  <c r="L15" i="1"/>
  <c r="L14" i="1"/>
  <c r="L16" i="1" l="1"/>
  <c r="K71" i="3" l="1"/>
  <c r="K90" i="3"/>
  <c r="K103" i="2" l="1"/>
  <c r="K88" i="2"/>
  <c r="L10" i="1" l="1"/>
  <c r="K38" i="3"/>
  <c r="K40" i="3" l="1"/>
  <c r="L11" i="1" l="1"/>
  <c r="L12" i="1"/>
  <c r="L17" i="1"/>
  <c r="L18" i="1"/>
  <c r="L19" i="1"/>
  <c r="L20" i="1"/>
  <c r="L21" i="1"/>
  <c r="L22" i="1"/>
  <c r="L23" i="1"/>
  <c r="L24" i="1"/>
  <c r="L9" i="1"/>
  <c r="K7" i="3"/>
  <c r="K8" i="3"/>
  <c r="K9" i="3"/>
  <c r="L26" i="1" l="1"/>
  <c r="G25" i="1"/>
  <c r="K50" i="3" l="1"/>
  <c r="K42" i="3"/>
  <c r="K55" i="3"/>
  <c r="K70" i="3" l="1"/>
  <c r="N56" i="3" l="1"/>
  <c r="K89" i="3" l="1"/>
  <c r="K80" i="3"/>
  <c r="K58" i="3"/>
  <c r="K76" i="3"/>
  <c r="K83" i="3"/>
  <c r="K62" i="3"/>
  <c r="K6" i="3"/>
  <c r="J157" i="2" l="1"/>
  <c r="N93" i="3"/>
  <c r="N43" i="3"/>
  <c r="K7" i="2" l="1"/>
  <c r="K44" i="2" s="1"/>
  <c r="N81" i="3"/>
  <c r="N59" i="3"/>
  <c r="N84" i="3"/>
  <c r="N63" i="3"/>
  <c r="K157" i="2" l="1"/>
  <c r="N78" i="3"/>
  <c r="N74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<sst xmlns="http://schemas.openxmlformats.org/spreadsheetml/2006/main" count="695" uniqueCount="243">
  <si>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</si>
  <si>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</si>
  <si>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</si>
  <si>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</si>
  <si>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</si>
  <si>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</si>
  <si>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</si>
  <si>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</si>
  <si>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</si>
  <si>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</si>
  <si>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</si>
  <si>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</si>
  <si>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</si>
  <si>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</si>
  <si>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</si>
  <si>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</si>
  <si>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</si>
  <si>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</si>
  <si>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</si>
  <si>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</si>
  <si>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</si>
  <si>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</si>
  <si>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</si>
  <si>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</si>
  <si>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</si>
  <si>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</si>
  <si>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>Interest</t>
  </si>
  <si>
    <t>General</t>
  </si>
  <si>
    <t xml:space="preserve">Self Insurance </t>
  </si>
  <si>
    <t xml:space="preserve">Employee Benefit </t>
  </si>
  <si>
    <t xml:space="preserve">  </t>
  </si>
  <si>
    <t>Task Force-Justice &amp; Treasury Funds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</si>
  <si>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</si>
  <si>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</si>
  <si>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</si>
  <si>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</si>
  <si>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</si>
  <si>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</si>
  <si>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</si>
  <si>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</si>
  <si>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</si>
  <si>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</si>
  <si>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</si>
  <si>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</si>
  <si>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</si>
  <si>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</si>
  <si>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</si>
  <si>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</si>
  <si>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</si>
  <si>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</si>
  <si>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</si>
  <si>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</si>
  <si>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</si>
  <si>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</si>
  <si>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</si>
  <si>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</si>
  <si>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</si>
  <si>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</si>
  <si>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>General Fund Total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</si>
  <si>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</si>
  <si>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</si>
  <si>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</si>
  <si>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</si>
  <si>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</si>
  <si>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       3 Agency</t>
  </si>
  <si>
    <t xml:space="preserve">       4 Commercial Paper</t>
  </si>
  <si>
    <t xml:space="preserve">     </t>
  </si>
  <si>
    <t>MARKET VALUE</t>
  </si>
  <si>
    <t xml:space="preserve">DA Forf </t>
  </si>
  <si>
    <t xml:space="preserve">Errors &amp; Omissions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</si>
  <si>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</si>
  <si>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</si>
  <si>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</si>
  <si>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</si>
  <si>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TxPool/Prime</t>
  </si>
  <si>
    <t>Elijah Anderson, County Auditor</t>
  </si>
  <si>
    <t>FFIN</t>
  </si>
  <si>
    <t xml:space="preserve">FFIN                         </t>
  </si>
  <si>
    <t xml:space="preserve">       1. Liquid Cash</t>
  </si>
  <si>
    <t>1st Qtr</t>
  </si>
  <si>
    <t>Courthouse Restoration</t>
  </si>
  <si>
    <t>FFIN Investments</t>
  </si>
  <si>
    <t>Texas Daily</t>
  </si>
  <si>
    <t>Elections Hava/Cares Subsidy</t>
  </si>
  <si>
    <t>Texas Term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</si>
  <si>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</si>
  <si>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</si>
  <si>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</si>
  <si>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</si>
  <si>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</si>
  <si>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MMA Avg</t>
  </si>
  <si>
    <t>Ameriprise MMA</t>
  </si>
  <si>
    <t>Phil Crowley, Taylor County Judge</t>
  </si>
  <si>
    <t>Jail Inmate Checking</t>
  </si>
  <si>
    <t>Jail Commissary Checking</t>
  </si>
  <si>
    <t>Interest To GF</t>
  </si>
  <si>
    <t>Interest to GF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</si>
  <si>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</si>
  <si>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</si>
  <si>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</si>
  <si>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</si>
  <si>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</si>
  <si>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</si>
  <si>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</si>
  <si>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Texas Range TERM</t>
  </si>
  <si>
    <t>Wells Fargo Sioux Falls</t>
  </si>
  <si>
    <t>Texas Range SELECT</t>
  </si>
  <si>
    <t>Tex Range TERM</t>
  </si>
  <si>
    <t xml:space="preserve">Bonds </t>
  </si>
  <si>
    <t>Tresury Bill/Notes</t>
  </si>
  <si>
    <t>Agency</t>
  </si>
  <si>
    <t>91282CFE6</t>
  </si>
  <si>
    <t>0257QCA3</t>
  </si>
  <si>
    <t>Sofia Bank UT</t>
  </si>
  <si>
    <t>83407DBF2</t>
  </si>
  <si>
    <t>Bankwell BK CT</t>
  </si>
  <si>
    <t>06654BFH9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</si>
  <si>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</si>
  <si>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</si>
  <si>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</si>
  <si>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</si>
  <si>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</si>
  <si>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</si>
  <si>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</si>
  <si>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</si>
  <si>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</si>
  <si>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</si>
  <si>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</si>
  <si>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</si>
  <si>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</si>
  <si>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</si>
  <si>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</si>
  <si>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Valley Natl Bk Passaic</t>
  </si>
  <si>
    <t>Flagstar Bk Natl Assn</t>
  </si>
  <si>
    <t>Texas CLASS</t>
  </si>
  <si>
    <t>Tx Range Daily &amp; Select</t>
  </si>
  <si>
    <t xml:space="preserve">       2. C.D.'s</t>
  </si>
  <si>
    <t>GENERAL FUND</t>
  </si>
  <si>
    <t>Amerant BK Coral Gables</t>
  </si>
  <si>
    <t>Texas Range Select</t>
  </si>
  <si>
    <t>Par/Face Value</t>
  </si>
  <si>
    <t>Tex Range Select</t>
  </si>
  <si>
    <t>Taylor County Security Holdings</t>
  </si>
  <si>
    <t>Texas FIT</t>
  </si>
  <si>
    <t xml:space="preserve">Restricted Funds </t>
  </si>
  <si>
    <t>FFCB</t>
  </si>
  <si>
    <t>Current Par/</t>
  </si>
  <si>
    <t xml:space="preserve"> # of Shares</t>
  </si>
  <si>
    <t xml:space="preserve">Restricted Fees </t>
  </si>
  <si>
    <t xml:space="preserve"> Comm Suprv &amp; Corrections Dept</t>
  </si>
  <si>
    <t>TEXAS FIT</t>
  </si>
  <si>
    <t>TOTALS</t>
  </si>
  <si>
    <t xml:space="preserve"> Interest To GF </t>
  </si>
  <si>
    <t>Juvenile Justice Restitution</t>
  </si>
  <si>
    <t>3133ERQZ7</t>
  </si>
  <si>
    <t xml:space="preserve">Total General Fund Balance / Interest         </t>
  </si>
  <si>
    <t>JPMorgan Chase</t>
  </si>
  <si>
    <t>46657VXM7</t>
  </si>
  <si>
    <t>FHLB</t>
  </si>
  <si>
    <t>3130B4GP0</t>
  </si>
  <si>
    <t>American Express Natl</t>
  </si>
  <si>
    <t>02589AGH9</t>
  </si>
  <si>
    <t>Tx Tech Univ</t>
  </si>
  <si>
    <t>882806FS6</t>
  </si>
  <si>
    <t>Goldman Sachs</t>
  </si>
  <si>
    <t>38150VR43</t>
  </si>
  <si>
    <t>JP Morgan Chase</t>
  </si>
  <si>
    <t>TxTech Univ</t>
  </si>
  <si>
    <t>Fidelity Co-Operative</t>
  </si>
  <si>
    <t>Bank Plus</t>
  </si>
  <si>
    <t>3130B6CX2</t>
  </si>
  <si>
    <t>33646CRY2</t>
  </si>
  <si>
    <t>316077GH3</t>
  </si>
  <si>
    <t>06647MAX5</t>
  </si>
  <si>
    <r>
      <t xml:space="preserve">Texas CLASS </t>
    </r>
    <r>
      <rPr>
        <sz val="8"/>
        <rFont val="Arial"/>
        <family val="2"/>
      </rPr>
      <t xml:space="preserve"> (5/8/25)</t>
    </r>
  </si>
  <si>
    <t xml:space="preserve">Certificates of Obligation, </t>
  </si>
  <si>
    <t>Series 2025</t>
  </si>
  <si>
    <t>First Source Bk</t>
  </si>
  <si>
    <t>06647MSX5</t>
  </si>
  <si>
    <t>Certificates of Obligation</t>
  </si>
  <si>
    <t>Certificates of Obligation, Series 2025</t>
  </si>
  <si>
    <t>FY '25 4th Qtr</t>
  </si>
  <si>
    <t>Texas Connect</t>
  </si>
  <si>
    <t>Federal Agric Mtg Corp</t>
  </si>
  <si>
    <t>31424WS60</t>
  </si>
  <si>
    <t>FHLB (CALLED 9/7/25)</t>
  </si>
  <si>
    <t>FFCB (CALLED 8/27/25</t>
  </si>
  <si>
    <t>Tot Int earned @ life of investment</t>
  </si>
  <si>
    <t>Eclipse Bank Inc</t>
  </si>
  <si>
    <t>27889MAL4</t>
  </si>
  <si>
    <t>FNMA</t>
  </si>
  <si>
    <t>3136GAP94</t>
  </si>
  <si>
    <t>31424WQ96</t>
  </si>
  <si>
    <t>Texas LOGIC/TexSTAR</t>
  </si>
  <si>
    <t>Texas CONNECT</t>
  </si>
  <si>
    <t>District Clerk Cash Bonds Acct</t>
  </si>
  <si>
    <t>District Clerk Registry Fund Acct</t>
  </si>
  <si>
    <t>Payroll Clearing</t>
  </si>
  <si>
    <t>Tax Assessor</t>
  </si>
  <si>
    <t>Flexible Spending Account (FSA)</t>
  </si>
  <si>
    <t>County Clerk Bail Bond Fund</t>
  </si>
  <si>
    <t>James Hicks DA Collections Trust</t>
  </si>
  <si>
    <t>LEPC Local Emergency Planning Committee</t>
  </si>
  <si>
    <t>James Hicks DA Collections Trust II</t>
  </si>
  <si>
    <t>James Hicks DA Collections Trust III</t>
  </si>
  <si>
    <t>District Attorney Escrow Account</t>
  </si>
  <si>
    <t>District Clerk-Departmental Acct</t>
  </si>
  <si>
    <t>JP 1-1 - Departmental Acct</t>
  </si>
  <si>
    <t>County Clerk - Departmental Acct</t>
  </si>
  <si>
    <t>Constable - Departmental Acct</t>
  </si>
  <si>
    <t>Domestic Relations - Departmental Acct</t>
  </si>
  <si>
    <t>JP 1-2 - Departmental Acct</t>
  </si>
  <si>
    <t>Sheriff's Office -Criminal - Departmental Acct</t>
  </si>
  <si>
    <t>Sheriff's Office-Civil - Departmental Acct</t>
  </si>
  <si>
    <t>Tax Assessor - Departmental Acct</t>
  </si>
  <si>
    <t>Operations Checks Fund</t>
  </si>
  <si>
    <t xml:space="preserve">Operations Deposit </t>
  </si>
  <si>
    <t>Bail Bond Vouchers-Sheriff's Office</t>
  </si>
  <si>
    <t>Rate %</t>
  </si>
  <si>
    <t>Unclaimed Property</t>
  </si>
  <si>
    <t>Commissioner CT Spec</t>
  </si>
  <si>
    <t>DA Seizure</t>
  </si>
  <si>
    <t>Jail Commissary</t>
  </si>
  <si>
    <t>Juvenile Jury</t>
  </si>
  <si>
    <t>Juvenile Probation Comm/TDA/State</t>
  </si>
  <si>
    <t>Lateral Road</t>
  </si>
  <si>
    <t>Sheriffs Forfeiture</t>
  </si>
  <si>
    <t>Taylor Co Elections</t>
  </si>
  <si>
    <t>VIT Escrow - Interest</t>
  </si>
  <si>
    <t>VIT Escrow-Tax Assessor</t>
  </si>
  <si>
    <t>State &amp; Appellate Judicial Fees</t>
  </si>
  <si>
    <t>VIT Escrow Interest - EOM Analysis</t>
  </si>
  <si>
    <t>VIT Escrow - EOM Analysis</t>
  </si>
  <si>
    <t>Tax Assessor Collector - Sales Tax - EOM Analysis</t>
  </si>
  <si>
    <t>Tax Assessor Collector - 2.5% Sales Tax Surcharge - EOM Analysis</t>
  </si>
  <si>
    <t>Tax Assessor Collector Online Vehicle Registration - EOM Analysis</t>
  </si>
  <si>
    <t>Controlled Disbursement-AP &amp; PR</t>
  </si>
  <si>
    <t>Controlled Disbursement-Jury and BCBS drafts</t>
  </si>
  <si>
    <t>Local Provider Particpation Fund - FFB</t>
  </si>
  <si>
    <t>Local Provider Particpation Fund - Texas CLASS</t>
  </si>
  <si>
    <t>Actual interest total</t>
  </si>
  <si>
    <t>FY total</t>
  </si>
  <si>
    <t>Prior Year (Sept-24) Market Value 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</si>
</sst>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  <numFmt numFmtId="170" formatCode="&quot;$&quot;#,##0.00"/>
    <numFmt numFmtId="171" formatCode="_(* #,##0.000_);_(* \(#,##0.000\);_(* \-??_);_(@_)"/>
    <numFmt numFmtId="175" formatCode="0.00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u/>
      <sz val="12"/>
      <name val="Arial"/>
      <family val="2"/>
    </font>
    <font>
      <sz val="8.5"/>
      <color theme="1"/>
      <name val="Arial"/>
      <family val="2"/>
    </font>
    <font>
      <b/>
      <i/>
      <sz val="10"/>
      <name val="Arial"/>
      <family val="2"/>
    </font>
    <font>
      <i/>
      <sz val="8.5"/>
      <name val="Arial"/>
      <family val="2"/>
    </font>
    <font>
      <b/>
      <i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right"/>
    </xf>
    <xf numFmtId="164" fontId="3" fillId="0" borderId="0" xfId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14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/>
    <xf numFmtId="164" fontId="0" fillId="0" borderId="4" xfId="1" applyFont="1" applyFill="1" applyBorder="1" applyAlignment="1" applyProtection="1"/>
    <xf numFmtId="0" fontId="15" fillId="2" borderId="0" xfId="0" applyFont="1" applyFill="1"/>
    <xf numFmtId="164" fontId="15" fillId="2" borderId="0" xfId="1" applyFont="1" applyFill="1" applyBorder="1" applyAlignment="1" applyProtection="1"/>
    <xf numFmtId="164" fontId="15" fillId="3" borderId="0" xfId="1" applyFont="1" applyFill="1" applyBorder="1" applyAlignment="1" applyProtection="1"/>
    <xf numFmtId="16" fontId="15" fillId="2" borderId="0" xfId="1" applyNumberFormat="1" applyFont="1" applyFill="1" applyBorder="1" applyAlignment="1" applyProtection="1">
      <alignment horizontal="center"/>
    </xf>
    <xf numFmtId="164" fontId="13" fillId="0" borderId="2" xfId="1" applyBorder="1"/>
    <xf numFmtId="164" fontId="0" fillId="0" borderId="2" xfId="0" applyNumberFormat="1" applyBorder="1"/>
    <xf numFmtId="164" fontId="4" fillId="0" borderId="0" xfId="1" applyFont="1" applyAlignment="1">
      <alignment horizontal="left"/>
    </xf>
    <xf numFmtId="164" fontId="4" fillId="0" borderId="0" xfId="1" applyFont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7" borderId="0" xfId="0" applyFont="1" applyFill="1"/>
    <xf numFmtId="0" fontId="2" fillId="7" borderId="1" xfId="0" applyFont="1" applyFill="1" applyBorder="1"/>
    <xf numFmtId="0" fontId="0" fillId="7" borderId="0" xfId="0" applyFill="1"/>
    <xf numFmtId="165" fontId="2" fillId="0" borderId="3" xfId="3" applyFont="1" applyFill="1" applyBorder="1" applyAlignment="1" applyProtection="1">
      <alignment horizontal="right"/>
    </xf>
    <xf numFmtId="165" fontId="2" fillId="4" borderId="3" xfId="3" applyFont="1" applyFill="1" applyBorder="1" applyAlignment="1" applyProtection="1">
      <alignment horizontal="right"/>
    </xf>
    <xf numFmtId="164" fontId="4" fillId="7" borderId="0" xfId="1" applyFont="1" applyFill="1" applyAlignment="1">
      <alignment horizontal="left"/>
    </xf>
    <xf numFmtId="164" fontId="13" fillId="0" borderId="0" xfId="1" applyFill="1" applyBorder="1" applyAlignment="1" applyProtection="1"/>
    <xf numFmtId="164" fontId="13" fillId="0" borderId="0" xfId="1" applyFill="1" applyBorder="1" applyAlignment="1" applyProtection="1">
      <alignment horizontal="right"/>
    </xf>
    <xf numFmtId="164" fontId="13" fillId="0" borderId="0" xfId="1" applyFill="1"/>
    <xf numFmtId="164" fontId="13" fillId="7" borderId="0" xfId="1" applyFill="1" applyBorder="1" applyAlignment="1" applyProtection="1"/>
    <xf numFmtId="164" fontId="13" fillId="7" borderId="0" xfId="1" applyFill="1" applyBorder="1" applyAlignment="1" applyProtection="1">
      <alignment horizontal="right"/>
    </xf>
    <xf numFmtId="164" fontId="13" fillId="0" borderId="0" xfId="1" applyFill="1" applyBorder="1" applyAlignment="1" applyProtection="1">
      <alignment horizontal="center"/>
    </xf>
    <xf numFmtId="164" fontId="13" fillId="7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7" borderId="0" xfId="0" applyFont="1" applyFill="1" applyAlignment="1">
      <alignment horizontal="right"/>
    </xf>
    <xf numFmtId="0" fontId="7" fillId="2" borderId="0" xfId="0" applyFont="1" applyFill="1"/>
    <xf numFmtId="0" fontId="3" fillId="7" borderId="0" xfId="0" applyFont="1" applyFill="1" applyAlignment="1">
      <alignment horizontal="center"/>
    </xf>
    <xf numFmtId="0" fontId="3" fillId="7" borderId="0" xfId="0" applyFont="1" applyFill="1"/>
    <xf numFmtId="164" fontId="4" fillId="0" borderId="0" xfId="1" applyFont="1" applyFill="1" applyAlignment="1">
      <alignment horizontal="left"/>
    </xf>
    <xf numFmtId="164" fontId="2" fillId="0" borderId="0" xfId="1" applyFont="1" applyFill="1" applyBorder="1" applyAlignment="1" applyProtection="1">
      <alignment horizontal="right"/>
    </xf>
    <xf numFmtId="0" fontId="0" fillId="0" borderId="10" xfId="0" applyBorder="1"/>
    <xf numFmtId="164" fontId="0" fillId="0" borderId="5" xfId="1" applyFont="1" applyFill="1" applyBorder="1" applyAlignment="1" applyProtection="1">
      <alignment horizontal="center"/>
    </xf>
    <xf numFmtId="0" fontId="17" fillId="0" borderId="0" xfId="0" applyFont="1"/>
    <xf numFmtId="164" fontId="18" fillId="0" borderId="0" xfId="1" applyFont="1" applyBorder="1" applyAlignment="1">
      <alignment horizontal="left"/>
    </xf>
    <xf numFmtId="0" fontId="18" fillId="7" borderId="0" xfId="0" applyFont="1" applyFill="1"/>
    <xf numFmtId="0" fontId="18" fillId="0" borderId="0" xfId="0" applyFont="1"/>
    <xf numFmtId="164" fontId="18" fillId="0" borderId="0" xfId="1" applyFont="1" applyFill="1" applyBorder="1" applyAlignment="1" applyProtection="1"/>
    <xf numFmtId="164" fontId="18" fillId="0" borderId="0" xfId="1" applyFont="1" applyFill="1" applyBorder="1" applyAlignment="1" applyProtection="1">
      <alignment horizontal="right"/>
    </xf>
    <xf numFmtId="164" fontId="2" fillId="0" borderId="7" xfId="1" applyFont="1" applyFill="1" applyBorder="1" applyAlignment="1" applyProtection="1"/>
    <xf numFmtId="164" fontId="2" fillId="0" borderId="7" xfId="1" applyFont="1" applyFill="1" applyBorder="1" applyAlignment="1" applyProtection="1">
      <alignment horizontal="right"/>
    </xf>
    <xf numFmtId="164" fontId="13" fillId="6" borderId="0" xfId="1" applyFill="1" applyBorder="1" applyAlignment="1" applyProtection="1">
      <alignment horizontal="center"/>
    </xf>
    <xf numFmtId="164" fontId="3" fillId="7" borderId="0" xfId="1" applyFont="1" applyFill="1" applyBorder="1" applyAlignment="1" applyProtection="1"/>
    <xf numFmtId="0" fontId="16" fillId="0" borderId="0" xfId="0" applyFont="1"/>
    <xf numFmtId="164" fontId="13" fillId="6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7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7" borderId="0" xfId="1" applyFont="1" applyFill="1" applyBorder="1" applyAlignment="1" applyProtection="1"/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7" borderId="0" xfId="1" applyFont="1" applyFill="1" applyBorder="1" applyAlignment="1" applyProtection="1">
      <alignment horizontal="right"/>
    </xf>
    <xf numFmtId="164" fontId="2" fillId="7" borderId="1" xfId="1" applyFont="1" applyFill="1" applyBorder="1" applyAlignment="1" applyProtection="1">
      <alignment horizontal="right"/>
    </xf>
    <xf numFmtId="164" fontId="2" fillId="7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3" fillId="7" borderId="6" xfId="1" applyFill="1" applyBorder="1" applyAlignment="1" applyProtection="1">
      <alignment horizontal="center"/>
    </xf>
    <xf numFmtId="169" fontId="2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9" borderId="0" xfId="0" applyFill="1"/>
    <xf numFmtId="14" fontId="0" fillId="9" borderId="0" xfId="0" applyNumberFormat="1" applyFill="1" applyAlignment="1">
      <alignment horizontal="right"/>
    </xf>
    <xf numFmtId="164" fontId="13" fillId="9" borderId="0" xfId="1" applyFill="1" applyBorder="1" applyAlignment="1" applyProtection="1"/>
    <xf numFmtId="164" fontId="13" fillId="9" borderId="0" xfId="1" applyFill="1" applyBorder="1" applyAlignment="1" applyProtection="1">
      <alignment horizontal="center"/>
    </xf>
    <xf numFmtId="14" fontId="0" fillId="9" borderId="0" xfId="0" applyNumberFormat="1" applyFill="1"/>
    <xf numFmtId="164" fontId="13" fillId="9" borderId="0" xfId="1" applyFill="1" applyBorder="1" applyAlignment="1" applyProtection="1">
      <alignment horizontal="right"/>
    </xf>
    <xf numFmtId="0" fontId="0" fillId="9" borderId="0" xfId="0" applyFill="1" applyAlignment="1">
      <alignment horizontal="left"/>
    </xf>
    <xf numFmtId="0" fontId="14" fillId="9" borderId="0" xfId="0" applyFont="1" applyFill="1" applyAlignment="1">
      <alignment horizontal="right"/>
    </xf>
    <xf numFmtId="164" fontId="13" fillId="9" borderId="0" xfId="1" applyFill="1"/>
    <xf numFmtId="164" fontId="0" fillId="9" borderId="0" xfId="1" applyFont="1" applyFill="1" applyBorder="1" applyAlignment="1" applyProtection="1">
      <alignment horizontal="right"/>
    </xf>
    <xf numFmtId="0" fontId="0" fillId="9" borderId="2" xfId="0" applyFill="1" applyBorder="1"/>
    <xf numFmtId="164" fontId="0" fillId="9" borderId="4" xfId="1" applyFont="1" applyFill="1" applyBorder="1" applyAlignment="1" applyProtection="1"/>
    <xf numFmtId="164" fontId="13" fillId="9" borderId="2" xfId="1" applyFill="1" applyBorder="1"/>
    <xf numFmtId="164" fontId="0" fillId="9" borderId="2" xfId="1" applyFont="1" applyFill="1" applyBorder="1" applyAlignment="1" applyProtection="1"/>
    <xf numFmtId="164" fontId="0" fillId="9" borderId="2" xfId="0" applyNumberFormat="1" applyFill="1" applyBorder="1"/>
    <xf numFmtId="164" fontId="0" fillId="9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9" xfId="1" applyFont="1" applyFill="1" applyBorder="1" applyAlignment="1" applyProtection="1"/>
    <xf numFmtId="164" fontId="2" fillId="0" borderId="8" xfId="1" applyFont="1" applyFill="1" applyBorder="1" applyAlignment="1" applyProtection="1"/>
    <xf numFmtId="164" fontId="2" fillId="3" borderId="2" xfId="1" applyFont="1" applyFill="1" applyBorder="1" applyAlignment="1" applyProtection="1"/>
    <xf numFmtId="164" fontId="0" fillId="9" borderId="0" xfId="1" applyFont="1" applyFill="1" applyBorder="1" applyAlignment="1" applyProtection="1"/>
    <xf numFmtId="164" fontId="0" fillId="0" borderId="0" xfId="0" applyNumberFormat="1"/>
    <xf numFmtId="0" fontId="5" fillId="0" borderId="0" xfId="0" applyFont="1" applyAlignment="1">
      <alignment horizontal="center"/>
    </xf>
    <xf numFmtId="14" fontId="0" fillId="7" borderId="0" xfId="0" applyNumberFormat="1" applyFill="1"/>
    <xf numFmtId="164" fontId="0" fillId="7" borderId="0" xfId="1" applyFont="1" applyFill="1" applyBorder="1" applyAlignment="1" applyProtection="1"/>
    <xf numFmtId="14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164" fontId="0" fillId="7" borderId="0" xfId="1" applyFont="1" applyFill="1" applyBorder="1" applyAlignment="1" applyProtection="1">
      <alignment horizontal="right"/>
    </xf>
    <xf numFmtId="164" fontId="13" fillId="7" borderId="0" xfId="1" applyFill="1"/>
    <xf numFmtId="164" fontId="14" fillId="12" borderId="12" xfId="1" applyFont="1" applyFill="1" applyBorder="1" applyAlignment="1" applyProtection="1">
      <alignment horizontal="center" wrapText="1"/>
    </xf>
    <xf numFmtId="0" fontId="2" fillId="13" borderId="0" xfId="0" applyFont="1" applyFill="1" applyAlignment="1">
      <alignment horizontal="center"/>
    </xf>
    <xf numFmtId="165" fontId="2" fillId="0" borderId="0" xfId="3" applyFont="1" applyBorder="1" applyAlignment="1">
      <alignment horizontal="center"/>
    </xf>
    <xf numFmtId="39" fontId="0" fillId="2" borderId="0" xfId="3" applyNumberFormat="1" applyFont="1" applyFill="1" applyBorder="1" applyAlignment="1" applyProtection="1">
      <alignment horizontal="right"/>
    </xf>
    <xf numFmtId="39" fontId="2" fillId="2" borderId="3" xfId="3" applyNumberFormat="1" applyFont="1" applyFill="1" applyBorder="1" applyAlignment="1" applyProtection="1">
      <alignment horizontal="right"/>
    </xf>
    <xf numFmtId="0" fontId="2" fillId="13" borderId="16" xfId="0" applyFont="1" applyFill="1" applyBorder="1" applyAlignment="1">
      <alignment horizontal="center"/>
    </xf>
    <xf numFmtId="168" fontId="2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Alignment="1">
      <alignment horizontal="center"/>
    </xf>
    <xf numFmtId="164" fontId="19" fillId="12" borderId="13" xfId="1" applyFont="1" applyFill="1" applyBorder="1" applyAlignment="1" applyProtection="1">
      <alignment horizontal="center"/>
    </xf>
    <xf numFmtId="164" fontId="19" fillId="12" borderId="0" xfId="1" applyFont="1" applyFill="1" applyBorder="1" applyAlignment="1" applyProtection="1">
      <alignment horizontal="center"/>
    </xf>
    <xf numFmtId="164" fontId="19" fillId="12" borderId="14" xfId="1" applyFont="1" applyFill="1" applyBorder="1" applyAlignment="1" applyProtection="1">
      <alignment horizontal="center"/>
    </xf>
    <xf numFmtId="164" fontId="19" fillId="7" borderId="0" xfId="1" applyFont="1" applyFill="1" applyBorder="1" applyAlignment="1" applyProtection="1">
      <alignment horizontal="center"/>
    </xf>
    <xf numFmtId="164" fontId="20" fillId="7" borderId="0" xfId="1" applyFont="1" applyFill="1" applyBorder="1" applyAlignment="1" applyProtection="1">
      <alignment horizontal="center"/>
    </xf>
    <xf numFmtId="167" fontId="0" fillId="7" borderId="0" xfId="0" applyNumberFormat="1" applyFill="1" applyAlignment="1">
      <alignment horizontal="center"/>
    </xf>
    <xf numFmtId="164" fontId="0" fillId="7" borderId="0" xfId="1" applyFont="1" applyFill="1" applyBorder="1" applyAlignment="1" applyProtection="1">
      <alignment horizontal="center"/>
    </xf>
    <xf numFmtId="164" fontId="0" fillId="7" borderId="1" xfId="1" applyFont="1" applyFill="1" applyBorder="1" applyAlignment="1" applyProtection="1">
      <alignment horizontal="center"/>
    </xf>
    <xf numFmtId="0" fontId="0" fillId="7" borderId="1" xfId="0" applyFill="1" applyBorder="1"/>
    <xf numFmtId="164" fontId="0" fillId="7" borderId="5" xfId="1" applyFont="1" applyFill="1" applyBorder="1" applyAlignment="1" applyProtection="1">
      <alignment horizontal="center"/>
    </xf>
    <xf numFmtId="164" fontId="0" fillId="0" borderId="0" xfId="1" applyFont="1" applyFill="1"/>
    <xf numFmtId="14" fontId="4" fillId="0" borderId="0" xfId="1" applyNumberFormat="1" applyFont="1" applyFill="1" applyAlignment="1">
      <alignment horizontal="right"/>
    </xf>
    <xf numFmtId="164" fontId="18" fillId="7" borderId="0" xfId="1" applyFont="1" applyFill="1" applyBorder="1" applyAlignment="1" applyProtection="1">
      <alignment horizontal="right"/>
    </xf>
    <xf numFmtId="164" fontId="3" fillId="7" borderId="0" xfId="1" applyFont="1" applyFill="1" applyBorder="1" applyAlignment="1" applyProtection="1">
      <alignment horizontal="right"/>
    </xf>
    <xf numFmtId="164" fontId="3" fillId="7" borderId="0" xfId="1" applyFont="1" applyFill="1"/>
    <xf numFmtId="164" fontId="17" fillId="0" borderId="0" xfId="1" applyFont="1" applyFill="1" applyBorder="1" applyAlignment="1" applyProtection="1">
      <alignment horizontal="center"/>
    </xf>
    <xf numFmtId="164" fontId="20" fillId="7" borderId="7" xfId="1" applyFont="1" applyFill="1" applyBorder="1" applyAlignment="1" applyProtection="1">
      <alignment horizontal="center"/>
    </xf>
    <xf numFmtId="164" fontId="19" fillId="12" borderId="13" xfId="1" applyFont="1" applyFill="1" applyBorder="1" applyAlignment="1" applyProtection="1">
      <alignment horizontal="right"/>
    </xf>
    <xf numFmtId="164" fontId="19" fillId="12" borderId="14" xfId="1" applyFont="1" applyFill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right"/>
    </xf>
    <xf numFmtId="164" fontId="0" fillId="4" borderId="0" xfId="1" applyFont="1" applyFill="1" applyBorder="1" applyAlignment="1" applyProtection="1">
      <alignment horizontal="center"/>
    </xf>
    <xf numFmtId="164" fontId="0" fillId="4" borderId="0" xfId="1" applyFont="1" applyFill="1" applyBorder="1" applyAlignment="1" applyProtection="1"/>
    <xf numFmtId="39" fontId="0" fillId="2" borderId="0" xfId="3" applyNumberFormat="1" applyFont="1" applyFill="1" applyBorder="1" applyAlignment="1" applyProtection="1">
      <alignment horizontal="center"/>
    </xf>
    <xf numFmtId="166" fontId="2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Alignment="1">
      <alignment horizontal="right"/>
    </xf>
    <xf numFmtId="164" fontId="2" fillId="4" borderId="0" xfId="1" applyFont="1" applyFill="1" applyBorder="1" applyAlignment="1" applyProtection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6" xfId="0" applyFont="1" applyFill="1" applyBorder="1"/>
    <xf numFmtId="0" fontId="2" fillId="4" borderId="16" xfId="0" applyFont="1" applyFill="1" applyBorder="1" applyAlignment="1">
      <alignment horizontal="right"/>
    </xf>
    <xf numFmtId="164" fontId="2" fillId="4" borderId="16" xfId="1" applyFont="1" applyFill="1" applyBorder="1" applyAlignment="1" applyProtection="1">
      <alignment horizontal="center"/>
    </xf>
    <xf numFmtId="164" fontId="2" fillId="4" borderId="16" xfId="1" applyFont="1" applyFill="1" applyBorder="1" applyAlignment="1" applyProtection="1"/>
    <xf numFmtId="39" fontId="0" fillId="5" borderId="16" xfId="3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9" fontId="0" fillId="0" borderId="0" xfId="6" applyNumberFormat="1" applyFont="1" applyFill="1" applyBorder="1" applyAlignment="1"/>
    <xf numFmtId="39" fontId="0" fillId="8" borderId="0" xfId="3" applyNumberFormat="1" applyFont="1" applyFill="1" applyBorder="1" applyAlignment="1" applyProtection="1">
      <alignment horizontal="right"/>
    </xf>
    <xf numFmtId="0" fontId="0" fillId="13" borderId="0" xfId="0" applyFill="1"/>
    <xf numFmtId="164" fontId="23" fillId="12" borderId="0" xfId="1" applyFont="1" applyFill="1"/>
    <xf numFmtId="0" fontId="0" fillId="10" borderId="0" xfId="0" applyFill="1"/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0" fillId="10" borderId="0" xfId="1" applyFont="1" applyFill="1" applyBorder="1" applyAlignment="1" applyProtection="1"/>
    <xf numFmtId="169" fontId="0" fillId="10" borderId="0" xfId="6" applyNumberFormat="1" applyFont="1" applyFill="1" applyBorder="1" applyAlignment="1"/>
    <xf numFmtId="169" fontId="0" fillId="0" borderId="0" xfId="6" applyNumberFormat="1" applyFont="1" applyBorder="1" applyAlignment="1"/>
    <xf numFmtId="169" fontId="0" fillId="7" borderId="0" xfId="6" applyNumberFormat="1" applyFont="1" applyFill="1" applyBorder="1" applyAlignment="1"/>
    <xf numFmtId="164" fontId="0" fillId="10" borderId="0" xfId="1" applyFont="1" applyFill="1" applyBorder="1" applyAlignment="1" applyProtection="1">
      <alignment horizontal="right"/>
    </xf>
    <xf numFmtId="164" fontId="2" fillId="9" borderId="0" xfId="1" applyFont="1" applyFill="1" applyBorder="1" applyAlignment="1" applyProtection="1"/>
    <xf numFmtId="169" fontId="0" fillId="9" borderId="0" xfId="6" applyNumberFormat="1" applyFont="1" applyFill="1" applyBorder="1" applyAlignment="1"/>
    <xf numFmtId="164" fontId="2" fillId="4" borderId="0" xfId="1" applyFont="1" applyFill="1" applyBorder="1" applyAlignment="1" applyProtection="1"/>
    <xf numFmtId="169" fontId="0" fillId="0" borderId="0" xfId="0" applyNumberFormat="1"/>
    <xf numFmtId="169" fontId="0" fillId="9" borderId="0" xfId="0" applyNumberFormat="1" applyFill="1"/>
    <xf numFmtId="169" fontId="0" fillId="10" borderId="0" xfId="0" applyNumberFormat="1" applyFill="1"/>
    <xf numFmtId="164" fontId="2" fillId="9" borderId="0" xfId="1" applyFont="1" applyFill="1" applyBorder="1" applyAlignment="1" applyProtection="1">
      <alignment horizontal="center"/>
    </xf>
    <xf numFmtId="164" fontId="0" fillId="4" borderId="0" xfId="1" applyFont="1" applyFill="1" applyBorder="1" applyAlignment="1" applyProtection="1">
      <alignment horizontal="right"/>
    </xf>
    <xf numFmtId="169" fontId="0" fillId="0" borderId="3" xfId="0" applyNumberFormat="1" applyBorder="1"/>
    <xf numFmtId="164" fontId="23" fillId="12" borderId="3" xfId="1" applyFont="1" applyFill="1" applyBorder="1"/>
    <xf numFmtId="170" fontId="0" fillId="0" borderId="0" xfId="0" applyNumberFormat="1"/>
    <xf numFmtId="164" fontId="0" fillId="6" borderId="0" xfId="1" applyFont="1" applyFill="1" applyBorder="1" applyAlignment="1" applyProtection="1">
      <alignment horizontal="right"/>
    </xf>
    <xf numFmtId="0" fontId="0" fillId="6" borderId="0" xfId="0" applyFill="1"/>
    <xf numFmtId="164" fontId="13" fillId="6" borderId="0" xfId="1" applyFill="1" applyBorder="1" applyAlignment="1" applyProtection="1">
      <alignment horizontal="right"/>
    </xf>
    <xf numFmtId="14" fontId="2" fillId="0" borderId="7" xfId="0" applyNumberFormat="1" applyFont="1" applyBorder="1" applyAlignment="1">
      <alignment horizontal="right"/>
    </xf>
    <xf numFmtId="14" fontId="17" fillId="0" borderId="7" xfId="0" applyNumberFormat="1" applyFont="1" applyBorder="1" applyAlignment="1">
      <alignment horizontal="right"/>
    </xf>
    <xf numFmtId="164" fontId="17" fillId="0" borderId="7" xfId="1" applyFont="1" applyFill="1" applyBorder="1" applyAlignment="1" applyProtection="1"/>
    <xf numFmtId="164" fontId="17" fillId="0" borderId="7" xfId="1" applyFont="1" applyFill="1" applyBorder="1" applyAlignment="1" applyProtection="1">
      <alignment horizontal="right"/>
    </xf>
    <xf numFmtId="164" fontId="3" fillId="7" borderId="0" xfId="1" applyFont="1" applyFill="1" applyAlignment="1">
      <alignment horizontal="left"/>
    </xf>
    <xf numFmtId="164" fontId="3" fillId="7" borderId="0" xfId="1" applyFont="1" applyFill="1" applyBorder="1" applyAlignment="1">
      <alignment horizontal="left"/>
    </xf>
    <xf numFmtId="164" fontId="20" fillId="11" borderId="7" xfId="1" applyFont="1" applyFill="1" applyBorder="1" applyAlignment="1" applyProtection="1">
      <alignment horizontal="center"/>
    </xf>
    <xf numFmtId="14" fontId="0" fillId="6" borderId="0" xfId="0" applyNumberFormat="1" applyFill="1" applyAlignment="1">
      <alignment horizontal="right"/>
    </xf>
    <xf numFmtId="0" fontId="0" fillId="6" borderId="0" xfId="0" applyFill="1" applyAlignment="1">
      <alignment horizontal="left"/>
    </xf>
    <xf numFmtId="164" fontId="0" fillId="6" borderId="0" xfId="1" applyFont="1" applyFill="1" applyBorder="1" applyAlignment="1" applyProtection="1"/>
    <xf numFmtId="0" fontId="0" fillId="17" borderId="0" xfId="0" applyFill="1"/>
    <xf numFmtId="0" fontId="2" fillId="17" borderId="0" xfId="0" applyFont="1" applyFill="1" applyAlignment="1">
      <alignment horizontal="center"/>
    </xf>
    <xf numFmtId="0" fontId="2" fillId="17" borderId="16" xfId="0" applyFont="1" applyFill="1" applyBorder="1" applyAlignment="1">
      <alignment horizontal="center"/>
    </xf>
    <xf numFmtId="14" fontId="0" fillId="17" borderId="0" xfId="0" applyNumberFormat="1" applyFill="1"/>
    <xf numFmtId="0" fontId="0" fillId="17" borderId="0" xfId="0" applyFill="1" applyAlignment="1">
      <alignment horizontal="center"/>
    </xf>
    <xf numFmtId="165" fontId="2" fillId="17" borderId="0" xfId="3" applyFont="1" applyFill="1"/>
    <xf numFmtId="0" fontId="0" fillId="18" borderId="0" xfId="0" applyFill="1"/>
    <xf numFmtId="0" fontId="0" fillId="18" borderId="0" xfId="0" applyFill="1" applyAlignment="1">
      <alignment horizontal="center"/>
    </xf>
    <xf numFmtId="14" fontId="0" fillId="18" borderId="0" xfId="0" applyNumberFormat="1" applyFill="1" applyAlignment="1">
      <alignment horizontal="right"/>
    </xf>
    <xf numFmtId="164" fontId="0" fillId="18" borderId="0" xfId="1" applyFont="1" applyFill="1" applyBorder="1" applyAlignment="1" applyProtection="1">
      <alignment horizontal="right"/>
    </xf>
    <xf numFmtId="169" fontId="0" fillId="18" borderId="0" xfId="6" applyNumberFormat="1" applyFont="1" applyFill="1" applyBorder="1" applyAlignment="1"/>
    <xf numFmtId="164" fontId="0" fillId="18" borderId="0" xfId="1" applyFont="1" applyFill="1" applyBorder="1" applyAlignment="1" applyProtection="1"/>
    <xf numFmtId="0" fontId="0" fillId="6" borderId="0" xfId="0" applyFill="1" applyAlignment="1">
      <alignment horizontal="center"/>
    </xf>
    <xf numFmtId="0" fontId="24" fillId="0" borderId="1" xfId="0" applyFont="1" applyBorder="1"/>
    <xf numFmtId="14" fontId="0" fillId="6" borderId="0" xfId="0" applyNumberFormat="1" applyFill="1"/>
    <xf numFmtId="169" fontId="0" fillId="6" borderId="0" xfId="6" applyNumberFormat="1" applyFont="1" applyFill="1" applyBorder="1" applyAlignment="1"/>
    <xf numFmtId="0" fontId="0" fillId="19" borderId="0" xfId="0" applyFill="1"/>
    <xf numFmtId="0" fontId="0" fillId="19" borderId="0" xfId="0" applyFill="1" applyAlignment="1">
      <alignment horizontal="center"/>
    </xf>
    <xf numFmtId="14" fontId="0" fillId="19" borderId="0" xfId="0" applyNumberFormat="1" applyFill="1" applyAlignment="1">
      <alignment horizontal="right"/>
    </xf>
    <xf numFmtId="164" fontId="0" fillId="19" borderId="0" xfId="1" applyFont="1" applyFill="1" applyBorder="1" applyAlignment="1" applyProtection="1">
      <alignment horizontal="right"/>
    </xf>
    <xf numFmtId="169" fontId="0" fillId="19" borderId="0" xfId="0" applyNumberFormat="1" applyFill="1"/>
    <xf numFmtId="164" fontId="0" fillId="19" borderId="0" xfId="1" applyFont="1" applyFill="1" applyBorder="1" applyAlignment="1" applyProtection="1"/>
    <xf numFmtId="0" fontId="0" fillId="7" borderId="5" xfId="0" applyFill="1" applyBorder="1"/>
    <xf numFmtId="14" fontId="0" fillId="7" borderId="5" xfId="0" applyNumberFormat="1" applyFill="1" applyBorder="1" applyAlignment="1">
      <alignment horizontal="right"/>
    </xf>
    <xf numFmtId="164" fontId="13" fillId="7" borderId="5" xfId="1" applyFill="1" applyBorder="1" applyAlignment="1" applyProtection="1">
      <alignment horizontal="right"/>
    </xf>
    <xf numFmtId="164" fontId="13" fillId="7" borderId="15" xfId="1" applyFill="1" applyBorder="1" applyAlignment="1" applyProtection="1">
      <alignment horizontal="center"/>
    </xf>
    <xf numFmtId="164" fontId="13" fillId="0" borderId="5" xfId="1" applyFill="1" applyBorder="1" applyAlignment="1" applyProtection="1">
      <alignment horizontal="right"/>
    </xf>
    <xf numFmtId="164" fontId="13" fillId="7" borderId="5" xfId="1" applyFill="1" applyBorder="1" applyAlignment="1" applyProtection="1"/>
    <xf numFmtId="0" fontId="0" fillId="6" borderId="5" xfId="0" applyFill="1" applyBorder="1"/>
    <xf numFmtId="164" fontId="1" fillId="0" borderId="0" xfId="1" applyFont="1" applyFill="1" applyBorder="1" applyAlignment="1" applyProtection="1"/>
    <xf numFmtId="171" fontId="0" fillId="10" borderId="0" xfId="1" applyNumberFormat="1" applyFont="1" applyFill="1" applyBorder="1" applyAlignment="1" applyProtection="1"/>
    <xf numFmtId="171" fontId="0" fillId="9" borderId="0" xfId="1" applyNumberFormat="1" applyFont="1" applyFill="1" applyBorder="1" applyAlignment="1" applyProtection="1"/>
    <xf numFmtId="170" fontId="2" fillId="20" borderId="16" xfId="3" applyNumberFormat="1" applyFont="1" applyFill="1" applyBorder="1" applyAlignment="1" applyProtection="1">
      <alignment horizontal="center" vertical="center" wrapText="1"/>
    </xf>
    <xf numFmtId="17" fontId="2" fillId="0" borderId="0" xfId="3" applyNumberFormat="1" applyFont="1" applyFill="1" applyBorder="1" applyAlignment="1" applyProtection="1">
      <alignment horizontal="center"/>
    </xf>
    <xf numFmtId="164" fontId="0" fillId="9" borderId="2" xfId="1" applyFont="1" applyFill="1" applyBorder="1" applyAlignment="1" applyProtection="1">
      <alignment horizontal="right"/>
    </xf>
    <xf numFmtId="0" fontId="9" fillId="15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167" fontId="0" fillId="16" borderId="0" xfId="0" applyNumberFormat="1" applyFill="1" applyAlignment="1">
      <alignment horizontal="center"/>
    </xf>
    <xf numFmtId="0" fontId="10" fillId="0" borderId="0" xfId="0" applyFont="1" applyAlignment="1">
      <alignment horizontal="center"/>
    </xf>
    <xf numFmtId="164" fontId="14" fillId="12" borderId="14" xfId="1" applyFont="1" applyFill="1" applyBorder="1" applyAlignment="1" applyProtection="1">
      <alignment horizontal="center" wrapText="1"/>
    </xf>
    <xf numFmtId="164" fontId="14" fillId="12" borderId="15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164" fontId="22" fillId="12" borderId="11" xfId="1" applyFont="1" applyFill="1" applyBorder="1" applyAlignment="1" applyProtection="1">
      <alignment horizontal="center" wrapText="1"/>
    </xf>
    <xf numFmtId="164" fontId="22" fillId="12" borderId="13" xfId="1" applyFont="1" applyFill="1" applyBorder="1" applyAlignment="1" applyProtection="1">
      <alignment horizontal="center" wrapText="1"/>
    </xf>
    <xf numFmtId="164" fontId="22" fillId="12" borderId="17" xfId="1" applyFont="1" applyFill="1" applyBorder="1" applyAlignment="1" applyProtection="1">
      <alignment horizontal="center" wrapText="1"/>
    </xf>
    <xf numFmtId="170" fontId="2" fillId="14" borderId="0" xfId="3" applyNumberFormat="1" applyFont="1" applyFill="1" applyBorder="1" applyAlignment="1" applyProtection="1">
      <alignment horizontal="center" vertical="center" wrapText="1"/>
    </xf>
    <xf numFmtId="164" fontId="0" fillId="7" borderId="5" xfId="1" applyFont="1" applyFill="1" applyBorder="1" applyAlignment="1" applyProtection="1"/>
    <xf numFmtId="164" fontId="13" fillId="0" borderId="17" xfId="1" applyFill="1" applyBorder="1" applyAlignment="1" applyProtection="1">
      <alignment horizontal="right"/>
    </xf>
    <xf numFmtId="164" fontId="0" fillId="7" borderId="5" xfId="1" applyFont="1" applyFill="1" applyBorder="1" applyAlignment="1" applyProtection="1">
      <alignment horizontal="right"/>
    </xf>
    <xf numFmtId="175" fontId="6" fillId="0" borderId="0" xfId="0" applyNumberFormat="1" applyFont="1" applyAlignment="1">
      <alignment horizontal="center"/>
    </xf>
    <xf numFmtId="0" fontId="0" fillId="9" borderId="0" xfId="0" applyFill="1" applyBorder="1"/>
    <xf numFmtId="14" fontId="0" fillId="9" borderId="0" xfId="0" applyNumberFormat="1" applyFill="1" applyBorder="1" applyAlignment="1">
      <alignment horizontal="right"/>
    </xf>
    <xf numFmtId="164" fontId="13" fillId="7" borderId="5" xfId="1" applyFill="1" applyBorder="1" applyAlignment="1" applyProtection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4" fontId="0" fillId="6" borderId="0" xfId="0" applyNumberFormat="1" applyFill="1" applyBorder="1"/>
    <xf numFmtId="164" fontId="13" fillId="0" borderId="16" xfId="1" applyFill="1" applyBorder="1" applyAlignment="1" applyProtection="1">
      <alignment horizontal="right"/>
    </xf>
    <xf numFmtId="14" fontId="0" fillId="6" borderId="5" xfId="0" applyNumberFormat="1" applyFill="1" applyBorder="1" applyAlignment="1">
      <alignment horizontal="right"/>
    </xf>
    <xf numFmtId="164" fontId="13" fillId="6" borderId="5" xfId="1" applyFill="1" applyBorder="1" applyAlignment="1" applyProtection="1"/>
    <xf numFmtId="164" fontId="0" fillId="6" borderId="5" xfId="1" applyFont="1" applyFill="1" applyBorder="1" applyAlignment="1" applyProtection="1"/>
    <xf numFmtId="164" fontId="13" fillId="6" borderId="5" xfId="1" applyFill="1" applyBorder="1" applyAlignment="1" applyProtection="1">
      <alignment horizontal="center"/>
    </xf>
    <xf numFmtId="0" fontId="0" fillId="7" borderId="0" xfId="0" applyFill="1" applyBorder="1"/>
    <xf numFmtId="164" fontId="13" fillId="6" borderId="0" xfId="1" applyFill="1"/>
    <xf numFmtId="169" fontId="0" fillId="6" borderId="0" xfId="0" applyNumberFormat="1" applyFill="1" applyAlignment="1">
      <alignment horizontal="center"/>
    </xf>
    <xf numFmtId="14" fontId="0" fillId="7" borderId="0" xfId="0" applyNumberFormat="1" applyFill="1" applyBorder="1" applyAlignment="1">
      <alignment horizontal="right"/>
    </xf>
    <xf numFmtId="164" fontId="0" fillId="7" borderId="0" xfId="1" applyFont="1" applyFill="1"/>
    <xf numFmtId="0" fontId="3" fillId="7" borderId="0" xfId="0" applyFont="1" applyFill="1" applyAlignment="1">
      <alignment horizontal="left"/>
    </xf>
    <xf numFmtId="164" fontId="4" fillId="7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6" fillId="7" borderId="0" xfId="0" applyFont="1" applyFill="1"/>
    <xf numFmtId="169" fontId="14" fillId="0" borderId="1" xfId="0" applyNumberFormat="1" applyFont="1" applyBorder="1" applyAlignment="1">
      <alignment horizontal="center"/>
    </xf>
    <xf numFmtId="0" fontId="7" fillId="2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7" fillId="0" borderId="0" xfId="0" applyFont="1" applyBorder="1"/>
    <xf numFmtId="0" fontId="25" fillId="7" borderId="0" xfId="0" applyFont="1" applyFill="1" applyBorder="1" applyAlignment="1">
      <alignment horizontal="right"/>
    </xf>
    <xf numFmtId="164" fontId="7" fillId="7" borderId="0" xfId="1" applyFont="1" applyFill="1" applyBorder="1" applyAlignment="1">
      <alignment horizontal="left"/>
    </xf>
    <xf numFmtId="14" fontId="0" fillId="6" borderId="0" xfId="0" applyNumberFormat="1" applyFill="1" applyBorder="1" applyAlignment="1">
      <alignment horizontal="right"/>
    </xf>
    <xf numFmtId="165" fontId="21" fillId="0" borderId="0" xfId="3" applyFont="1"/>
    <xf numFmtId="165" fontId="21" fillId="7" borderId="0" xfId="3" applyFont="1" applyFill="1"/>
    <xf numFmtId="165" fontId="0" fillId="0" borderId="0" xfId="0" applyNumberFormat="1"/>
    <xf numFmtId="0" fontId="26" fillId="6" borderId="0" xfId="0" applyFont="1" applyFill="1"/>
    <xf numFmtId="14" fontId="26" fillId="6" borderId="0" xfId="0" applyNumberFormat="1" applyFont="1" applyFill="1" applyAlignment="1">
      <alignment horizontal="right"/>
    </xf>
    <xf numFmtId="169" fontId="26" fillId="6" borderId="0" xfId="0" applyNumberFormat="1" applyFont="1" applyFill="1" applyAlignment="1">
      <alignment horizontal="center"/>
    </xf>
    <xf numFmtId="165" fontId="2" fillId="7" borderId="7" xfId="3" applyFont="1" applyFill="1" applyBorder="1" applyAlignment="1" applyProtection="1">
      <alignment horizontal="center"/>
    </xf>
    <xf numFmtId="165" fontId="21" fillId="0" borderId="7" xfId="3" applyFont="1" applyBorder="1"/>
    <xf numFmtId="0" fontId="3" fillId="18" borderId="0" xfId="0" applyFont="1" applyFill="1" applyAlignment="1">
      <alignment horizontal="right"/>
    </xf>
    <xf numFmtId="0" fontId="3" fillId="21" borderId="0" xfId="0" applyFont="1" applyFill="1"/>
    <xf numFmtId="164" fontId="3" fillId="18" borderId="0" xfId="1" applyFont="1" applyFill="1" applyBorder="1" applyAlignment="1" applyProtection="1">
      <alignment horizontal="right"/>
    </xf>
    <xf numFmtId="0" fontId="3" fillId="18" borderId="0" xfId="0" applyFont="1" applyFill="1" applyAlignment="1">
      <alignment horizontal="center"/>
    </xf>
    <xf numFmtId="164" fontId="3" fillId="18" borderId="0" xfId="1" applyFont="1" applyFill="1" applyBorder="1" applyAlignment="1" applyProtection="1"/>
    <xf numFmtId="164" fontId="3" fillId="18" borderId="0" xfId="1" applyFont="1" applyFill="1" applyAlignment="1">
      <alignment horizontal="left"/>
    </xf>
    <xf numFmtId="0" fontId="3" fillId="18" borderId="0" xfId="0" applyFont="1" applyFill="1" applyBorder="1" applyAlignment="1">
      <alignment horizontal="right"/>
    </xf>
    <xf numFmtId="0" fontId="3" fillId="18" borderId="0" xfId="0" applyFont="1" applyFill="1" applyBorder="1" applyAlignment="1">
      <alignment horizontal="center"/>
    </xf>
    <xf numFmtId="164" fontId="3" fillId="18" borderId="0" xfId="1" applyFont="1" applyFill="1" applyBorder="1" applyAlignment="1">
      <alignment horizontal="left"/>
    </xf>
    <xf numFmtId="0" fontId="25" fillId="18" borderId="0" xfId="0" applyFont="1" applyFill="1" applyBorder="1" applyAlignment="1">
      <alignment horizontal="right"/>
    </xf>
    <xf numFmtId="0" fontId="7" fillId="18" borderId="0" xfId="0" applyFont="1" applyFill="1"/>
    <xf numFmtId="0" fontId="7" fillId="21" borderId="0" xfId="0" applyFont="1" applyFill="1"/>
    <xf numFmtId="0" fontId="7" fillId="21" borderId="0" xfId="0" applyFont="1" applyFill="1" applyBorder="1"/>
    <xf numFmtId="0" fontId="7" fillId="18" borderId="0" xfId="0" applyFont="1" applyFill="1" applyBorder="1"/>
    <xf numFmtId="164" fontId="19" fillId="7" borderId="18" xfId="1" applyFont="1" applyFill="1" applyBorder="1" applyAlignment="1" applyProtection="1">
      <alignment horizontal="right"/>
    </xf>
    <xf numFmtId="164" fontId="19" fillId="7" borderId="19" xfId="1" applyFont="1" applyFill="1" applyBorder="1" applyAlignment="1" applyProtection="1">
      <alignment horizontal="right"/>
    </xf>
    <xf numFmtId="164" fontId="19" fillId="7" borderId="13" xfId="1" applyFont="1" applyFill="1" applyBorder="1" applyAlignment="1" applyProtection="1">
      <alignment horizontal="center"/>
    </xf>
    <xf numFmtId="164" fontId="19" fillId="7" borderId="14" xfId="1" applyFont="1" applyFill="1" applyBorder="1" applyAlignment="1" applyProtection="1">
      <alignment horizontal="center"/>
    </xf>
    <xf numFmtId="0" fontId="0" fillId="22" borderId="0" xfId="0" applyFill="1"/>
    <xf numFmtId="0" fontId="0" fillId="22" borderId="0" xfId="0" applyFill="1" applyAlignment="1">
      <alignment horizontal="left"/>
    </xf>
    <xf numFmtId="14" fontId="0" fillId="22" borderId="0" xfId="0" applyNumberFormat="1" applyFill="1" applyAlignment="1">
      <alignment horizontal="right"/>
    </xf>
    <xf numFmtId="164" fontId="13" fillId="22" borderId="0" xfId="1" applyFill="1" applyBorder="1" applyAlignment="1" applyProtection="1"/>
    <xf numFmtId="164" fontId="13" fillId="22" borderId="0" xfId="1" applyFill="1" applyBorder="1" applyAlignment="1" applyProtection="1">
      <alignment horizontal="right"/>
    </xf>
    <xf numFmtId="164" fontId="13" fillId="22" borderId="0" xfId="1" applyFill="1" applyBorder="1" applyAlignment="1" applyProtection="1">
      <alignment horizontal="center"/>
    </xf>
    <xf numFmtId="0" fontId="14" fillId="22" borderId="0" xfId="0" applyFont="1" applyFill="1" applyAlignment="1">
      <alignment horizontal="right"/>
    </xf>
    <xf numFmtId="0" fontId="0" fillId="22" borderId="5" xfId="0" applyFill="1" applyBorder="1"/>
    <xf numFmtId="14" fontId="0" fillId="22" borderId="5" xfId="0" applyNumberFormat="1" applyFill="1" applyBorder="1" applyAlignment="1">
      <alignment horizontal="right"/>
    </xf>
    <xf numFmtId="164" fontId="13" fillId="22" borderId="5" xfId="1" applyFill="1" applyBorder="1" applyAlignment="1" applyProtection="1">
      <alignment horizontal="right"/>
    </xf>
    <xf numFmtId="164" fontId="13" fillId="22" borderId="5" xfId="1" applyFill="1" applyBorder="1" applyAlignment="1" applyProtection="1"/>
    <xf numFmtId="164" fontId="0" fillId="22" borderId="5" xfId="1" applyFont="1" applyFill="1" applyBorder="1" applyAlignment="1" applyProtection="1">
      <alignment horizontal="right"/>
    </xf>
    <xf numFmtId="164" fontId="13" fillId="22" borderId="15" xfId="1" applyFill="1" applyBorder="1" applyAlignment="1" applyProtection="1">
      <alignment horizontal="center"/>
    </xf>
    <xf numFmtId="164" fontId="0" fillId="22" borderId="0" xfId="1" applyFont="1" applyFill="1" applyBorder="1" applyAlignment="1" applyProtection="1">
      <alignment horizontal="right"/>
    </xf>
    <xf numFmtId="14" fontId="3" fillId="18" borderId="0" xfId="0" applyNumberFormat="1" applyFont="1" applyFill="1" applyAlignment="1">
      <alignment horizontal="right"/>
    </xf>
    <xf numFmtId="164" fontId="3" fillId="18" borderId="0" xfId="1" applyFont="1" applyFill="1" applyBorder="1" applyAlignment="1" applyProtection="1">
      <alignment horizontal="center"/>
    </xf>
    <xf numFmtId="164" fontId="27" fillId="11" borderId="0" xfId="1" applyFont="1" applyFill="1" applyBorder="1" applyAlignment="1" applyProtection="1">
      <alignment horizontal="center"/>
    </xf>
    <xf numFmtId="14" fontId="3" fillId="7" borderId="0" xfId="0" applyNumberFormat="1" applyFont="1" applyFill="1" applyAlignment="1">
      <alignment horizontal="right"/>
    </xf>
    <xf numFmtId="165" fontId="3" fillId="7" borderId="0" xfId="3" applyFont="1" applyFill="1" applyBorder="1" applyAlignment="1" applyProtection="1">
      <alignment horizontal="center"/>
    </xf>
    <xf numFmtId="164" fontId="27" fillId="11" borderId="0" xfId="1" applyFont="1" applyFill="1" applyBorder="1" applyAlignment="1" applyProtection="1">
      <alignment horizontal="right"/>
    </xf>
    <xf numFmtId="165" fontId="3" fillId="18" borderId="0" xfId="3" applyFont="1" applyFill="1" applyBorder="1" applyAlignment="1" applyProtection="1">
      <alignment horizontal="center"/>
    </xf>
    <xf numFmtId="164" fontId="3" fillId="18" borderId="0" xfId="1" applyFont="1" applyFill="1"/>
    <xf numFmtId="175" fontId="5" fillId="9" borderId="0" xfId="0" applyNumberFormat="1" applyFont="1" applyFill="1" applyAlignment="1">
      <alignment horizontal="center"/>
    </xf>
    <xf numFmtId="175" fontId="5" fillId="0" borderId="0" xfId="0" applyNumberFormat="1" applyFont="1" applyAlignment="1">
      <alignment horizontal="center"/>
    </xf>
    <xf numFmtId="175" fontId="5" fillId="9" borderId="0" xfId="0" applyNumberFormat="1" applyFont="1" applyFill="1" applyBorder="1" applyAlignment="1">
      <alignment horizontal="center"/>
    </xf>
    <xf numFmtId="175" fontId="5" fillId="7" borderId="5" xfId="0" applyNumberFormat="1" applyFont="1" applyFill="1" applyBorder="1" applyAlignment="1">
      <alignment horizontal="center"/>
    </xf>
    <xf numFmtId="175" fontId="5" fillId="7" borderId="0" xfId="0" applyNumberFormat="1" applyFont="1" applyFill="1" applyAlignment="1">
      <alignment horizontal="center"/>
    </xf>
    <xf numFmtId="175" fontId="5" fillId="7" borderId="0" xfId="0" applyNumberFormat="1" applyFont="1" applyFill="1" applyBorder="1" applyAlignment="1">
      <alignment horizontal="center"/>
    </xf>
    <xf numFmtId="175" fontId="5" fillId="6" borderId="0" xfId="0" applyNumberFormat="1" applyFont="1" applyFill="1" applyAlignment="1">
      <alignment horizontal="center"/>
    </xf>
    <xf numFmtId="175" fontId="5" fillId="6" borderId="0" xfId="0" applyNumberFormat="1" applyFont="1" applyFill="1" applyBorder="1" applyAlignment="1">
      <alignment horizontal="center"/>
    </xf>
    <xf numFmtId="175" fontId="28" fillId="6" borderId="0" xfId="0" applyNumberFormat="1" applyFont="1" applyFill="1" applyAlignment="1">
      <alignment horizontal="center"/>
    </xf>
    <xf numFmtId="175" fontId="5" fillId="6" borderId="5" xfId="0" applyNumberFormat="1" applyFont="1" applyFill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5" fontId="5" fillId="22" borderId="0" xfId="0" applyNumberFormat="1" applyFont="1" applyFill="1" applyAlignment="1">
      <alignment horizontal="center"/>
    </xf>
    <xf numFmtId="175" fontId="5" fillId="22" borderId="5" xfId="0" applyNumberFormat="1" applyFont="1" applyFill="1" applyBorder="1" applyAlignment="1">
      <alignment horizontal="center"/>
    </xf>
    <xf numFmtId="175" fontId="5" fillId="18" borderId="0" xfId="0" applyNumberFormat="1" applyFont="1" applyFill="1" applyAlignment="1">
      <alignment horizontal="center"/>
    </xf>
    <xf numFmtId="175" fontId="5" fillId="18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right"/>
    </xf>
    <xf numFmtId="171" fontId="0" fillId="0" borderId="0" xfId="1" applyNumberFormat="1" applyFont="1" applyFill="1" applyBorder="1" applyAlignment="1" applyProtection="1"/>
    <xf numFmtId="171" fontId="0" fillId="10" borderId="0" xfId="6" applyNumberFormat="1" applyFont="1" applyFill="1" applyBorder="1" applyAlignment="1"/>
    <xf numFmtId="169" fontId="0" fillId="10" borderId="0" xfId="1" applyNumberFormat="1" applyFont="1" applyFill="1" applyBorder="1" applyAlignment="1" applyProtection="1"/>
    <xf numFmtId="164" fontId="1" fillId="10" borderId="0" xfId="1" applyFont="1" applyFill="1" applyBorder="1" applyAlignment="1" applyProtection="1"/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966950057385921E-2"/>
                  <c:y val="-8.2640419947506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7-4645-9369-7B346C73F410}"/>
                </c:ext>
              </c:extLst>
            </c:dLbl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1.1925487625887327E-2"/>
                  <c:y val="-3.04713910761154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97198771.310000002</c:v>
                </c:pt>
                <c:pt idx="1">
                  <c:v>1963512.4</c:v>
                </c:pt>
                <c:pt idx="2">
                  <c:v>5169213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036933103174531"/>
          <c:y val="0.42824378047886741"/>
          <c:w val="8.6184010117140983E-2"/>
          <c:h val="0.5316944177792942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0"/>
              <c:layout>
                <c:manualLayout>
                  <c:x val="3.7226624698818399E-2"/>
                  <c:y val="-0.102354589622138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E-4337-BF7A-32AC787EB208}"/>
                </c:ext>
              </c:extLst>
            </c:dLbl>
            <c:dLbl>
              <c:idx val="1"/>
              <c:layout>
                <c:manualLayout>
                  <c:x val="-1.961408411392522E-2"/>
                  <c:y val="5.87799590815171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E-4337-BF7A-32AC787EB208}"/>
                </c:ext>
              </c:extLst>
            </c:dLbl>
            <c:dLbl>
              <c:idx val="2"/>
              <c:layout>
                <c:manualLayout>
                  <c:x val="-8.0678816493230023E-3"/>
                  <c:y val="-4.5642892317377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3796711509715"/>
                      <c:h val="0.13027104687349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2.8622206977491044E-2"/>
                  <c:y val="-3.09492986490808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80291534.459999993</c:v>
                </c:pt>
                <c:pt idx="1">
                  <c:v>2688249.9</c:v>
                </c:pt>
                <c:pt idx="2">
                  <c:v>6035516.4000000004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97198771.310000002</c:v>
                </c:pt>
                <c:pt idx="1">
                  <c:v>1963512.4</c:v>
                </c:pt>
                <c:pt idx="2">
                  <c:v>5169213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97198771.310000002</c:v>
                </c:pt>
                <c:pt idx="1">
                  <c:v>1963512.4</c:v>
                </c:pt>
                <c:pt idx="2">
                  <c:v>5169213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801858287893386"/>
          <c:y val="0.43279331462877485"/>
          <c:w val="9.4189571595030441E-2"/>
          <c:h val="0.55431864120433216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19050</xdr:colOff>
      <xdr:row>10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7948D-A682-2EA6-6E48-EB76424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609725" cy="16954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22</xdr:row>
      <xdr:rowOff>38101</xdr:rowOff>
    </xdr:from>
    <xdr:to>
      <xdr:col>6</xdr:col>
      <xdr:colOff>257176</xdr:colOff>
      <xdr:row>35</xdr:row>
      <xdr:rowOff>85725</xdr:rowOff>
    </xdr:to>
    <xdr:pic>
      <xdr:nvPicPr>
        <xdr:cNvPr id="4" name="Picture 3" descr="Photo">
          <a:extLst>
            <a:ext uri="{FF2B5EF4-FFF2-40B4-BE49-F238E27FC236}">
              <a16:creationId xmlns:a16="http://schemas.microsoft.com/office/drawing/2014/main" id="{AD4CE874-492F-0BB8-1B62-0056367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3990976"/>
          <a:ext cx="3676650" cy="2152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38100</xdr:rowOff>
    </xdr:from>
    <xdr:to>
      <xdr:col>1</xdr:col>
      <xdr:colOff>0</xdr:colOff>
      <xdr:row>31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139064</xdr:colOff>
      <xdr:row>28</xdr:row>
      <xdr:rowOff>139211</xdr:rowOff>
    </xdr:from>
    <xdr:to>
      <xdr:col>10</xdr:col>
      <xdr:colOff>276225</xdr:colOff>
      <xdr:row>43</xdr:row>
      <xdr:rowOff>153866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104776</xdr:colOff>
      <xdr:row>28</xdr:row>
      <xdr:rowOff>95250</xdr:rowOff>
    </xdr:from>
    <xdr:to>
      <xdr:col>4</xdr:col>
      <xdr:colOff>205155</xdr:colOff>
      <xdr:row>43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5"/>
  <sheetViews>
    <sheetView showGridLines="0" tabSelected="1" workbookViewId="0"/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29"/>
    </row>
    <row r="14" spans="1:12" ht="35.25" x14ac:dyDescent="0.5">
      <c r="A14" s="246" t="s">
        <v>46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</row>
    <row r="17" spans="1:12" ht="18" x14ac:dyDescent="0.25">
      <c r="A17" s="249" t="s">
        <v>47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</row>
    <row r="20" spans="1:12" x14ac:dyDescent="0.2">
      <c r="A20" s="247" t="s">
        <v>48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</row>
    <row r="21" spans="1:12" x14ac:dyDescent="0.2">
      <c r="A21" s="248">
        <v>45930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</row>
    <row r="22" spans="1:12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</row>
    <row r="23" spans="1:12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</row>
    <row r="24" spans="1:12" x14ac:dyDescent="0.2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</row>
    <row r="25" spans="1:12" x14ac:dyDescent="0.2">
      <c r="E25" t="s">
        <v>0</v>
      </c>
    </row>
  </sheetData>
  <mergeCells count="4">
    <mergeCell ref="A14:L14"/>
    <mergeCell ref="A20:L20"/>
    <mergeCell ref="A21:L21"/>
    <mergeCell ref="A17:L17"/>
  </mergeCells>
  <phoneticPr fontId="5" type="noConversion"/>
  <printOptions horizontalCentered="1" verticalCentered="1"/>
  <pageMargins left="0.7" right="0.7" top="0.75" bottom="0.25" header="0.3" footer="0.3"/>
  <pageSetup paperSize="5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0" t="s">
        <v>49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3:14" ht="15" x14ac:dyDescent="0.2">
      <c r="C2" s="30" t="s">
        <v>50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3:14" ht="15" x14ac:dyDescent="0.2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3:14" ht="15" x14ac:dyDescent="0.2">
      <c r="C4" s="30" t="s">
        <v>60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3:14" ht="15" x14ac:dyDescent="0.2">
      <c r="C5" s="30" t="s">
        <v>51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3:14" ht="15" x14ac:dyDescent="0.2">
      <c r="C6" s="30" t="s">
        <v>52</v>
      </c>
      <c r="D6" s="30"/>
      <c r="E6" s="30"/>
      <c r="F6" s="30"/>
      <c r="G6" s="30"/>
      <c r="H6" s="30" t="s">
        <v>53</v>
      </c>
      <c r="I6" s="30"/>
      <c r="J6" s="30"/>
      <c r="K6" s="30"/>
      <c r="L6" s="30"/>
      <c r="M6" s="30"/>
      <c r="N6" s="30"/>
    </row>
    <row r="7" spans="3:14" ht="15" x14ac:dyDescent="0.2"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3:14" ht="15" x14ac:dyDescent="0.2">
      <c r="C8" s="30" t="s">
        <v>54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3:14" ht="16.5" customHeight="1" x14ac:dyDescent="0.2">
      <c r="C9" s="30" t="s">
        <v>55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3:14" ht="15" x14ac:dyDescent="0.2"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3:14" ht="15" x14ac:dyDescent="0.2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3:14" ht="15" x14ac:dyDescent="0.2"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3:14" ht="15" x14ac:dyDescent="0.2"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3:14" ht="15" x14ac:dyDescent="0.2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3:14" ht="15" x14ac:dyDescent="0.2">
      <c r="C15" s="31"/>
      <c r="D15" s="31"/>
      <c r="E15" s="31"/>
      <c r="F15" s="31"/>
      <c r="G15" s="30"/>
      <c r="H15" s="30"/>
      <c r="I15" s="31"/>
      <c r="J15" s="31"/>
      <c r="K15" s="31"/>
      <c r="L15" s="31"/>
      <c r="M15" s="30"/>
      <c r="N15" s="30"/>
    </row>
    <row r="16" spans="3:14" ht="15" x14ac:dyDescent="0.2">
      <c r="C16" s="32" t="s">
        <v>92</v>
      </c>
      <c r="D16" s="30"/>
      <c r="E16" s="30"/>
      <c r="F16" s="30"/>
      <c r="G16" s="30"/>
      <c r="H16" s="30"/>
      <c r="I16" s="30" t="s">
        <v>87</v>
      </c>
      <c r="J16" s="30"/>
      <c r="K16" s="30"/>
      <c r="L16" s="30"/>
      <c r="M16" s="30"/>
      <c r="N16" s="30"/>
    </row>
    <row r="17" spans="3:14" ht="15" x14ac:dyDescent="0.2">
      <c r="C17" s="3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3:14" ht="15" x14ac:dyDescent="0.2">
      <c r="C18" s="32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3:14" ht="15" x14ac:dyDescent="0.2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3:14" ht="15" x14ac:dyDescent="0.2">
      <c r="C20" s="31"/>
      <c r="D20" s="31"/>
      <c r="E20" s="31"/>
      <c r="F20" s="31"/>
      <c r="G20" s="30"/>
      <c r="H20" s="30"/>
      <c r="I20" s="224"/>
      <c r="J20" s="31"/>
      <c r="K20" s="31"/>
      <c r="L20" s="31"/>
      <c r="M20" s="30"/>
      <c r="N20" s="30"/>
    </row>
    <row r="21" spans="3:14" ht="15" x14ac:dyDescent="0.2">
      <c r="C21" s="30" t="s">
        <v>118</v>
      </c>
      <c r="D21" s="30"/>
      <c r="E21" s="30"/>
      <c r="F21" s="30"/>
      <c r="G21" s="30"/>
      <c r="H21" s="30"/>
      <c r="I21" s="30" t="s">
        <v>75</v>
      </c>
      <c r="J21" s="30"/>
      <c r="K21" s="30"/>
      <c r="L21" s="30"/>
      <c r="M21" s="30"/>
      <c r="N21" s="30"/>
    </row>
    <row r="22" spans="3:14" ht="15" x14ac:dyDescent="0.2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3:14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3:14" ht="15" x14ac:dyDescent="0.2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3:14" ht="15" x14ac:dyDescent="0.2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3:14" ht="15" x14ac:dyDescent="0.2">
      <c r="C26" s="31"/>
      <c r="D26" s="31"/>
      <c r="E26" s="31"/>
      <c r="F26" s="31"/>
      <c r="G26" s="30"/>
      <c r="H26" s="30"/>
      <c r="I26" s="31"/>
      <c r="J26" s="31"/>
      <c r="K26" s="31"/>
      <c r="L26" s="31"/>
      <c r="M26" s="30"/>
      <c r="N26" s="30"/>
    </row>
    <row r="27" spans="3:14" ht="15" x14ac:dyDescent="0.2">
      <c r="C27" s="30" t="s">
        <v>56</v>
      </c>
      <c r="D27" s="30"/>
      <c r="E27" s="30"/>
      <c r="F27" s="30"/>
      <c r="G27" s="30"/>
      <c r="H27" s="30"/>
      <c r="I27" s="30" t="s">
        <v>61</v>
      </c>
      <c r="J27" s="30"/>
      <c r="K27" s="30"/>
      <c r="L27" s="30"/>
      <c r="M27" s="30"/>
      <c r="N27" s="30"/>
    </row>
    <row r="28" spans="3:14" ht="15" x14ac:dyDescent="0.2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3:14" ht="15" x14ac:dyDescent="0.2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3:14" ht="15" x14ac:dyDescent="0.2">
      <c r="C30" s="30" t="s">
        <v>62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3:14" ht="15" x14ac:dyDescent="0.2">
      <c r="C31" s="30" t="s">
        <v>63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3:14" ht="15" x14ac:dyDescent="0.2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5"/>
  <sheetViews>
    <sheetView showGridLines="0" zoomScale="130" zoomScaleNormal="130" workbookViewId="0">
      <selection activeCell="H23" sqref="H23"/>
    </sheetView>
  </sheetViews>
  <sheetFormatPr defaultRowHeight="12.75" x14ac:dyDescent="0.2"/>
  <cols>
    <col min="1" max="1" width="32.4257812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  <col min="13" max="14" width="9.140625" customWidth="1"/>
    <col min="15" max="15" width="14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2" customFormat="1" ht="19.5" x14ac:dyDescent="0.3">
      <c r="B2" s="43"/>
      <c r="C2" s="43"/>
      <c r="D2" s="45" t="s">
        <v>67</v>
      </c>
      <c r="E2" s="43"/>
      <c r="F2" s="43"/>
      <c r="G2" s="44"/>
      <c r="H2" s="43"/>
      <c r="I2" s="43"/>
      <c r="J2" s="45" t="s">
        <v>67</v>
      </c>
      <c r="K2" s="43"/>
      <c r="L2" s="43"/>
    </row>
    <row r="3" spans="1:12" x14ac:dyDescent="0.2">
      <c r="B3" s="3"/>
      <c r="C3" s="3"/>
      <c r="D3" s="9">
        <v>45838</v>
      </c>
      <c r="E3" s="3"/>
      <c r="F3" s="3"/>
      <c r="G3" s="8"/>
      <c r="J3" s="9">
        <v>45930</v>
      </c>
    </row>
    <row r="4" spans="1:12" x14ac:dyDescent="0.2">
      <c r="B4" s="10" t="s">
        <v>76</v>
      </c>
      <c r="C4" s="3"/>
      <c r="D4" s="244"/>
      <c r="E4" s="3"/>
      <c r="F4" s="3"/>
      <c r="G4" s="8"/>
      <c r="H4" s="10" t="s">
        <v>76</v>
      </c>
      <c r="J4" s="244"/>
    </row>
    <row r="5" spans="1:12" x14ac:dyDescent="0.2">
      <c r="B5" s="10" t="s">
        <v>74</v>
      </c>
      <c r="C5" s="3"/>
      <c r="D5" s="10" t="s">
        <v>110</v>
      </c>
      <c r="E5" s="3"/>
      <c r="F5" s="3"/>
      <c r="G5" s="8"/>
      <c r="H5" s="10" t="s">
        <v>74</v>
      </c>
      <c r="J5" s="10" t="s">
        <v>110</v>
      </c>
    </row>
    <row r="6" spans="1:12" x14ac:dyDescent="0.2">
      <c r="B6" s="125" t="s">
        <v>135</v>
      </c>
      <c r="C6" s="10" t="s">
        <v>1</v>
      </c>
      <c r="D6" s="10" t="s">
        <v>108</v>
      </c>
      <c r="E6" s="10" t="s">
        <v>84</v>
      </c>
      <c r="F6" s="3"/>
      <c r="G6" s="8"/>
      <c r="H6" s="125" t="s">
        <v>135</v>
      </c>
      <c r="I6" s="10" t="s">
        <v>1</v>
      </c>
      <c r="J6" s="10" t="s">
        <v>108</v>
      </c>
      <c r="K6" s="10" t="s">
        <v>84</v>
      </c>
    </row>
    <row r="7" spans="1:12" x14ac:dyDescent="0.2">
      <c r="B7" s="146" t="s">
        <v>134</v>
      </c>
      <c r="C7" s="146" t="s">
        <v>2</v>
      </c>
      <c r="D7" s="54" t="s">
        <v>109</v>
      </c>
      <c r="E7" s="146" t="s">
        <v>3</v>
      </c>
      <c r="F7" s="146" t="s">
        <v>4</v>
      </c>
      <c r="G7" s="8"/>
      <c r="H7" s="10" t="s">
        <v>134</v>
      </c>
      <c r="I7" s="10" t="s">
        <v>2</v>
      </c>
      <c r="J7" t="s">
        <v>109</v>
      </c>
      <c r="K7" s="10" t="s">
        <v>3</v>
      </c>
      <c r="L7" s="10" t="s">
        <v>4</v>
      </c>
    </row>
    <row r="8" spans="1:12" s="12" customFormat="1" x14ac:dyDescent="0.2">
      <c r="A8"/>
      <c r="B8" s="149" t="s">
        <v>143</v>
      </c>
      <c r="C8" s="147" t="s">
        <v>0</v>
      </c>
      <c r="D8" s="148" t="s">
        <v>0</v>
      </c>
      <c r="E8" s="147" t="s">
        <v>0</v>
      </c>
      <c r="F8" s="147" t="s">
        <v>0</v>
      </c>
      <c r="G8" s="8"/>
      <c r="H8" s="74" t="s">
        <v>143</v>
      </c>
      <c r="I8" s="11" t="s">
        <v>0</v>
      </c>
      <c r="J8" s="12" t="s">
        <v>0</v>
      </c>
      <c r="K8" s="11" t="s">
        <v>0</v>
      </c>
      <c r="L8" s="11" t="s">
        <v>0</v>
      </c>
    </row>
    <row r="9" spans="1:12" s="13" customFormat="1" x14ac:dyDescent="0.2">
      <c r="A9" s="112" t="s">
        <v>5</v>
      </c>
      <c r="B9" s="113">
        <v>27574859.329999998</v>
      </c>
      <c r="C9" s="114">
        <v>2688249.9</v>
      </c>
      <c r="D9" s="115">
        <v>6035516.4000000004</v>
      </c>
      <c r="E9" s="115">
        <v>10356673.970000001</v>
      </c>
      <c r="F9" s="115">
        <f t="shared" ref="F9:F24" si="0">SUM(B9:E9)</f>
        <v>46655299.599999994</v>
      </c>
      <c r="G9" s="15">
        <f>SUM(C9:F9)</f>
        <v>65735739.869999997</v>
      </c>
      <c r="H9" s="113">
        <f>SUM('Taylor County Security Holdings'!I7,'Taylor County Security Holdings'!I8,'Taylor County Security Holdings'!I9,'Taylor County Security Holdings'!I10,'Taylor County Security Holdings'!I11,'Taylor County Security Holdings'!I12,'Taylor County Security Holdings'!I13,'Taylor County Security Holdings'!I14)</f>
        <v>27497934.09</v>
      </c>
      <c r="I9" s="114">
        <f>244512.4+244000+244000+244000+244000+245000+249000+249000</f>
        <v>1963512.4</v>
      </c>
      <c r="J9" s="115">
        <f>1000000+1039213+3130000</f>
        <v>5169213</v>
      </c>
      <c r="K9" s="115">
        <v>0</v>
      </c>
      <c r="L9" s="115">
        <f t="shared" ref="L9:L24" si="1">SUM(H9:K9)</f>
        <v>34630659.489999995</v>
      </c>
    </row>
    <row r="10" spans="1:12" s="13" customFormat="1" x14ac:dyDescent="0.2">
      <c r="A10" s="13" t="s">
        <v>86</v>
      </c>
      <c r="B10" s="41">
        <v>8398092.0700000003</v>
      </c>
      <c r="C10" s="46"/>
      <c r="D10" s="14"/>
      <c r="E10" s="14"/>
      <c r="F10" s="14">
        <f t="shared" si="0"/>
        <v>8398092.0700000003</v>
      </c>
      <c r="G10" s="15"/>
      <c r="H10" s="41">
        <f>SUM('Taylor County Security Holdings'!I47:I48)</f>
        <v>5741688.1499999994</v>
      </c>
      <c r="I10" s="46"/>
      <c r="J10" s="14"/>
      <c r="K10" s="14"/>
      <c r="L10" s="14">
        <f t="shared" si="1"/>
        <v>5741688.1499999994</v>
      </c>
    </row>
    <row r="11" spans="1:12" s="13" customFormat="1" x14ac:dyDescent="0.2">
      <c r="A11" s="112" t="s">
        <v>6</v>
      </c>
      <c r="B11" s="115">
        <v>6342.07</v>
      </c>
      <c r="C11" s="116"/>
      <c r="D11" s="115"/>
      <c r="E11" s="115"/>
      <c r="F11" s="115">
        <f t="shared" si="0"/>
        <v>6342.07</v>
      </c>
      <c r="G11" s="15">
        <f>SUM(C11:F11)</f>
        <v>6342.07</v>
      </c>
      <c r="H11" s="115">
        <f>SUM('Taylor County Security Holdings'!H58)</f>
        <v>6384.84</v>
      </c>
      <c r="I11" s="116"/>
      <c r="J11" s="115"/>
      <c r="K11" s="115"/>
      <c r="L11" s="115">
        <f t="shared" si="1"/>
        <v>6384.84</v>
      </c>
    </row>
    <row r="12" spans="1:12" s="13" customFormat="1" x14ac:dyDescent="0.2">
      <c r="A12" s="13" t="s">
        <v>59</v>
      </c>
      <c r="B12" s="14">
        <v>5369.51</v>
      </c>
      <c r="C12" s="47"/>
      <c r="D12" s="14"/>
      <c r="E12" s="14"/>
      <c r="F12" s="14">
        <f t="shared" si="0"/>
        <v>5369.51</v>
      </c>
      <c r="G12" s="15"/>
      <c r="H12" s="14">
        <f>SUM('Taylor County Security Holdings'!I51)</f>
        <v>5405.72</v>
      </c>
      <c r="I12" s="47"/>
      <c r="J12" s="14"/>
      <c r="K12" s="14"/>
      <c r="L12" s="14">
        <f t="shared" si="1"/>
        <v>5405.72</v>
      </c>
    </row>
    <row r="13" spans="1:12" s="13" customFormat="1" x14ac:dyDescent="0.2">
      <c r="A13" s="112" t="s">
        <v>180</v>
      </c>
      <c r="B13" s="115">
        <v>11640964.699999999</v>
      </c>
      <c r="C13" s="116"/>
      <c r="D13" s="115"/>
      <c r="E13" s="115"/>
      <c r="F13" s="115">
        <f t="shared" si="0"/>
        <v>11640964.699999999</v>
      </c>
      <c r="G13" s="15"/>
      <c r="H13" s="115">
        <f>SUM('Taylor County Security Holdings'!I54,'Taylor County Security Holdings'!I55)</f>
        <v>9935145.1400000006</v>
      </c>
      <c r="I13" s="116"/>
      <c r="J13" s="115"/>
      <c r="K13" s="115"/>
      <c r="L13" s="115">
        <f t="shared" si="1"/>
        <v>9935145.1400000006</v>
      </c>
    </row>
    <row r="14" spans="1:12" s="13" customFormat="1" x14ac:dyDescent="0.2">
      <c r="A14" s="13" t="s">
        <v>80</v>
      </c>
      <c r="B14" s="14">
        <v>2073032.18</v>
      </c>
      <c r="C14" s="47" t="s">
        <v>0</v>
      </c>
      <c r="D14" s="14" t="s">
        <v>0</v>
      </c>
      <c r="E14" s="14"/>
      <c r="F14" s="14">
        <f t="shared" si="0"/>
        <v>2073032.18</v>
      </c>
      <c r="G14" s="15"/>
      <c r="H14" s="14">
        <f>SUM('Taylor County Security Holdings'!I61)</f>
        <v>1761886.85</v>
      </c>
      <c r="I14" s="47" t="s">
        <v>0</v>
      </c>
      <c r="J14" s="14" t="s">
        <v>0</v>
      </c>
      <c r="K14" s="14"/>
      <c r="L14" s="14">
        <f t="shared" si="1"/>
        <v>1761886.85</v>
      </c>
    </row>
    <row r="15" spans="1:12" s="13" customFormat="1" x14ac:dyDescent="0.2">
      <c r="A15" s="112" t="s">
        <v>7</v>
      </c>
      <c r="B15" s="115">
        <v>720045.53</v>
      </c>
      <c r="C15" s="112"/>
      <c r="D15" s="245"/>
      <c r="E15" s="115">
        <v>1553501.1</v>
      </c>
      <c r="F15" s="115">
        <f t="shared" si="0"/>
        <v>2273546.63</v>
      </c>
      <c r="G15" s="15">
        <f t="shared" ref="G15:G25" si="2">SUM(C15:F15)</f>
        <v>3827047.73</v>
      </c>
      <c r="H15" s="115">
        <f>SUM('Taylor County Security Holdings'!I94:I96)</f>
        <v>2266786.4699999997</v>
      </c>
      <c r="I15" s="112"/>
      <c r="J15" s="245"/>
      <c r="K15" s="115">
        <f>SUM('Taylor County Security Holdings'!I98)</f>
        <v>0</v>
      </c>
      <c r="L15" s="115">
        <f t="shared" si="1"/>
        <v>2266786.4699999997</v>
      </c>
    </row>
    <row r="16" spans="1:12" s="13" customFormat="1" x14ac:dyDescent="0.2">
      <c r="A16" s="13" t="s">
        <v>8</v>
      </c>
      <c r="B16" s="14">
        <v>3008166.41</v>
      </c>
      <c r="D16" s="14"/>
      <c r="E16" s="14">
        <v>1035667.4</v>
      </c>
      <c r="F16" s="14">
        <f t="shared" si="0"/>
        <v>4043833.81</v>
      </c>
      <c r="G16" s="15">
        <f t="shared" si="2"/>
        <v>5079501.21</v>
      </c>
      <c r="H16" s="14">
        <f>SUM('Taylor County Security Holdings'!I74:I75,'Taylor County Security Holdings'!I76)</f>
        <v>4215683.67</v>
      </c>
      <c r="J16" s="14"/>
      <c r="K16" s="14">
        <f>SUM('Taylor County Security Holdings'!I78)</f>
        <v>0</v>
      </c>
      <c r="L16" s="14">
        <f t="shared" si="1"/>
        <v>4215683.67</v>
      </c>
    </row>
    <row r="17" spans="1:15" s="13" customFormat="1" x14ac:dyDescent="0.2">
      <c r="A17" s="112" t="s">
        <v>9</v>
      </c>
      <c r="B17" s="115">
        <v>2275140.2200000002</v>
      </c>
      <c r="C17" s="112"/>
      <c r="D17" s="115"/>
      <c r="E17" s="115"/>
      <c r="F17" s="115">
        <f t="shared" si="0"/>
        <v>2275140.2200000002</v>
      </c>
      <c r="G17" s="15">
        <f t="shared" si="2"/>
        <v>2275140.2200000002</v>
      </c>
      <c r="H17" s="115">
        <f>SUM('Taylor County Security Holdings'!I85)</f>
        <v>2109184.52</v>
      </c>
      <c r="I17" s="112"/>
      <c r="J17" s="115"/>
      <c r="K17" s="115"/>
      <c r="L17" s="115">
        <f t="shared" si="1"/>
        <v>2109184.52</v>
      </c>
    </row>
    <row r="18" spans="1:15" s="13" customFormat="1" x14ac:dyDescent="0.2">
      <c r="A18" s="13" t="s">
        <v>10</v>
      </c>
      <c r="B18" s="14">
        <v>80502.880000000005</v>
      </c>
      <c r="D18" s="16"/>
      <c r="E18" s="14"/>
      <c r="F18" s="14">
        <f t="shared" si="0"/>
        <v>80502.880000000005</v>
      </c>
      <c r="G18" s="15">
        <f t="shared" si="2"/>
        <v>80502.880000000005</v>
      </c>
      <c r="H18" s="14">
        <f>SUM('Taylor County Security Holdings'!I64)</f>
        <v>81109.98</v>
      </c>
      <c r="J18" s="16"/>
      <c r="K18" s="14"/>
      <c r="L18" s="14">
        <f t="shared" si="1"/>
        <v>81109.98</v>
      </c>
    </row>
    <row r="19" spans="1:15" s="13" customFormat="1" x14ac:dyDescent="0.2">
      <c r="A19" s="112" t="s">
        <v>144</v>
      </c>
      <c r="B19" s="115">
        <v>1975506.93</v>
      </c>
      <c r="C19" s="112"/>
      <c r="D19" s="117"/>
      <c r="E19" s="115"/>
      <c r="F19" s="115">
        <f t="shared" si="0"/>
        <v>1975506.93</v>
      </c>
      <c r="G19" s="15">
        <f t="shared" si="2"/>
        <v>1975506.93</v>
      </c>
      <c r="H19" s="115">
        <f>SUM('Taylor County Security Holdings'!I81:I82)</f>
        <v>2117029.98</v>
      </c>
      <c r="I19" s="112"/>
      <c r="J19" s="117"/>
      <c r="K19" s="115"/>
      <c r="L19" s="115">
        <f t="shared" si="1"/>
        <v>2117029.98</v>
      </c>
    </row>
    <row r="20" spans="1:15" s="13" customFormat="1" x14ac:dyDescent="0.2">
      <c r="A20" s="13" t="s">
        <v>11</v>
      </c>
      <c r="B20" s="14">
        <v>118382</v>
      </c>
      <c r="D20" s="14"/>
      <c r="E20" s="14"/>
      <c r="F20" s="14">
        <f t="shared" si="0"/>
        <v>118382</v>
      </c>
      <c r="G20" s="15">
        <f t="shared" si="2"/>
        <v>118382</v>
      </c>
      <c r="H20" s="14">
        <f>SUM('Taylor County Security Holdings'!I88)</f>
        <v>17440.43</v>
      </c>
      <c r="J20" s="14"/>
      <c r="K20" s="14"/>
      <c r="L20" s="14">
        <f t="shared" si="1"/>
        <v>17440.43</v>
      </c>
    </row>
    <row r="21" spans="1:15" s="13" customFormat="1" x14ac:dyDescent="0.2">
      <c r="A21" s="112" t="s">
        <v>12</v>
      </c>
      <c r="B21" s="115">
        <v>806954.93</v>
      </c>
      <c r="C21" s="112"/>
      <c r="D21" s="115"/>
      <c r="E21" s="115"/>
      <c r="F21" s="115">
        <f t="shared" si="0"/>
        <v>806954.93</v>
      </c>
      <c r="G21" s="15">
        <f t="shared" si="2"/>
        <v>806954.93</v>
      </c>
      <c r="H21" s="115">
        <f>SUM('Taylor County Security Holdings'!I67)</f>
        <v>213136.03</v>
      </c>
      <c r="I21" s="112"/>
      <c r="J21" s="115"/>
      <c r="K21" s="115"/>
      <c r="L21" s="115">
        <f t="shared" si="1"/>
        <v>213136.03</v>
      </c>
    </row>
    <row r="22" spans="1:15" s="13" customFormat="1" x14ac:dyDescent="0.2">
      <c r="A22" s="13" t="s">
        <v>69</v>
      </c>
      <c r="B22" s="14">
        <v>1121030.1200000001</v>
      </c>
      <c r="D22" s="14"/>
      <c r="E22" s="14"/>
      <c r="F22" s="14">
        <f t="shared" si="0"/>
        <v>1121030.1200000001</v>
      </c>
      <c r="G22" s="15">
        <f t="shared" si="2"/>
        <v>1121030.1200000001</v>
      </c>
      <c r="H22" s="14">
        <f>SUM('Taylor County Security Holdings'!I70:I71)</f>
        <v>1133469.8900000001</v>
      </c>
      <c r="J22" s="14"/>
      <c r="K22" s="14"/>
      <c r="L22" s="14">
        <f t="shared" si="1"/>
        <v>1133469.8900000001</v>
      </c>
    </row>
    <row r="23" spans="1:15" s="13" customFormat="1" x14ac:dyDescent="0.2">
      <c r="A23" s="112" t="s">
        <v>13</v>
      </c>
      <c r="B23" s="115">
        <v>2978993.35</v>
      </c>
      <c r="C23" s="112"/>
      <c r="D23" s="115"/>
      <c r="E23" s="115"/>
      <c r="F23" s="115">
        <f t="shared" si="0"/>
        <v>2978993.35</v>
      </c>
      <c r="G23" s="15">
        <f t="shared" si="2"/>
        <v>2978993.35</v>
      </c>
      <c r="H23" s="115">
        <f>SUM('Taylor County Security Holdings'!I91)</f>
        <v>2069089.46</v>
      </c>
      <c r="I23" s="112"/>
      <c r="J23" s="115"/>
      <c r="K23" s="115"/>
      <c r="L23" s="115">
        <f t="shared" si="1"/>
        <v>2069089.46</v>
      </c>
    </row>
    <row r="24" spans="1:15" s="13" customFormat="1" x14ac:dyDescent="0.2">
      <c r="A24" s="13" t="s">
        <v>14</v>
      </c>
      <c r="B24" s="14">
        <v>17508152.23</v>
      </c>
      <c r="D24" s="14"/>
      <c r="E24" s="14"/>
      <c r="F24" s="14">
        <f t="shared" si="0"/>
        <v>17508152.23</v>
      </c>
      <c r="G24" s="15">
        <f t="shared" si="2"/>
        <v>17508152.23</v>
      </c>
      <c r="H24" s="14">
        <f>SUM('Taylor County Security Holdings'!I155)</f>
        <v>38027396.089999996</v>
      </c>
      <c r="J24" s="14"/>
      <c r="K24" s="14"/>
      <c r="L24" s="14">
        <f t="shared" si="1"/>
        <v>38027396.089999996</v>
      </c>
    </row>
    <row r="25" spans="1:15" x14ac:dyDescent="0.2">
      <c r="B25" s="17"/>
      <c r="C25"/>
      <c r="D25" s="17"/>
      <c r="E25" s="3"/>
      <c r="F25"/>
      <c r="G25" s="15">
        <f t="shared" si="2"/>
        <v>0</v>
      </c>
      <c r="H25" s="17"/>
      <c r="I25"/>
      <c r="J25" s="17"/>
      <c r="L25"/>
    </row>
    <row r="26" spans="1:15" s="13" customFormat="1" x14ac:dyDescent="0.2">
      <c r="A26" s="20" t="s">
        <v>4</v>
      </c>
      <c r="B26" s="118">
        <f>SUM(B9:B25)</f>
        <v>80291534.459999993</v>
      </c>
      <c r="C26" s="119">
        <f>SUM(C9:C25)</f>
        <v>2688249.9</v>
      </c>
      <c r="D26" s="118">
        <f>SUM(D9:D25)</f>
        <v>6035516.4000000004</v>
      </c>
      <c r="E26" s="120">
        <f>SUM(E9:E25)</f>
        <v>12945842.470000001</v>
      </c>
      <c r="F26" s="121">
        <f>SUM(F9:F25)</f>
        <v>101961143.23</v>
      </c>
      <c r="G26" s="122">
        <f t="shared" ref="G26" si="3">SUM(G9:G25)</f>
        <v>101513293.54000001</v>
      </c>
      <c r="H26" s="118">
        <f>SUM(H9:H25)</f>
        <v>97198771.310000002</v>
      </c>
      <c r="I26" s="119">
        <f>SUM(I9:I25)</f>
        <v>1963512.4</v>
      </c>
      <c r="J26" s="118">
        <f>SUM(J9:J25)</f>
        <v>5169213</v>
      </c>
      <c r="K26" s="120">
        <f>SUM(K9:K25)</f>
        <v>0</v>
      </c>
      <c r="L26" s="121">
        <f>SUM(L9:L25)</f>
        <v>104331496.70999999</v>
      </c>
      <c r="M26" s="73"/>
    </row>
    <row r="27" spans="1:15" x14ac:dyDescent="0.2">
      <c r="B27" s="3"/>
      <c r="C27" s="3"/>
      <c r="D27" s="3"/>
      <c r="E27" s="3"/>
      <c r="F27" s="3"/>
      <c r="G27" s="8"/>
    </row>
    <row r="28" spans="1:15" x14ac:dyDescent="0.2">
      <c r="A28" t="s">
        <v>15</v>
      </c>
      <c r="B28" s="3"/>
      <c r="C28" s="3"/>
      <c r="D28" s="3"/>
      <c r="E28" s="3"/>
      <c r="F28" s="3" t="s">
        <v>0</v>
      </c>
      <c r="G28" s="8"/>
      <c r="H28" s="3">
        <f>SUM(H26-B26)</f>
        <v>16907236.850000009</v>
      </c>
      <c r="I28" s="3">
        <f>SUM(I26-C26)</f>
        <v>-724737.5</v>
      </c>
      <c r="J28" s="3">
        <f>SUM(J26-D26)</f>
        <v>-866303.40000000037</v>
      </c>
      <c r="K28" s="3">
        <f>SUM(K26-E26)</f>
        <v>-12945842.470000001</v>
      </c>
      <c r="L28" s="3">
        <f>SUM(H28:K28)</f>
        <v>2370353.4800000079</v>
      </c>
    </row>
    <row r="29" spans="1:15" x14ac:dyDescent="0.2">
      <c r="B29" s="3"/>
      <c r="C29" s="3"/>
      <c r="D29" s="3"/>
      <c r="E29" s="3"/>
      <c r="F29" s="3"/>
      <c r="G29" s="8"/>
    </row>
    <row r="30" spans="1:15" x14ac:dyDescent="0.2">
      <c r="B30" s="3"/>
      <c r="C30" s="3"/>
      <c r="D30" s="3"/>
      <c r="E30" s="3"/>
      <c r="F30" s="3"/>
      <c r="G30" s="8"/>
    </row>
    <row r="31" spans="1:15" x14ac:dyDescent="0.2">
      <c r="B31" s="3"/>
      <c r="C31" s="3"/>
      <c r="D31" s="3"/>
      <c r="E31" s="3"/>
      <c r="F31" s="3"/>
      <c r="G31" s="8"/>
    </row>
    <row r="32" spans="1:15" x14ac:dyDescent="0.2">
      <c r="B32" s="3"/>
      <c r="C32" s="17"/>
      <c r="D32" s="3"/>
      <c r="E32" s="3"/>
      <c r="F32" s="3"/>
      <c r="G32" s="8"/>
      <c r="L32"/>
      <c r="O32" s="124"/>
    </row>
    <row r="33" spans="2:12" x14ac:dyDescent="0.2">
      <c r="B33" s="3"/>
      <c r="C33" s="3"/>
      <c r="D33" s="3"/>
      <c r="E33" s="3"/>
      <c r="F33" s="3"/>
      <c r="G33" s="18"/>
    </row>
    <row r="34" spans="2:12" x14ac:dyDescent="0.2">
      <c r="B34" s="3"/>
      <c r="C34" s="3"/>
      <c r="D34" s="3"/>
      <c r="E34" s="3"/>
      <c r="F34" s="3"/>
      <c r="G34" s="18"/>
    </row>
    <row r="35" spans="2:12" x14ac:dyDescent="0.2">
      <c r="B35" s="3"/>
      <c r="C35" s="3"/>
      <c r="D35" s="3"/>
      <c r="E35" s="3"/>
      <c r="F35" s="3"/>
      <c r="G35" s="18"/>
    </row>
    <row r="36" spans="2:12" x14ac:dyDescent="0.2">
      <c r="B36" s="3"/>
      <c r="C36" s="3"/>
      <c r="D36" s="3"/>
      <c r="E36" s="3"/>
      <c r="F36" s="3"/>
      <c r="G36" s="18"/>
      <c r="K36" s="3" t="s">
        <v>66</v>
      </c>
    </row>
    <row r="37" spans="2:12" x14ac:dyDescent="0.2">
      <c r="B37" s="3"/>
      <c r="C37" s="3"/>
      <c r="D37" s="3"/>
      <c r="E37" s="3" t="s">
        <v>78</v>
      </c>
      <c r="F37" s="3"/>
      <c r="G37" s="18"/>
      <c r="K37" s="3" t="s">
        <v>78</v>
      </c>
    </row>
    <row r="38" spans="2:12" x14ac:dyDescent="0.2">
      <c r="B38" s="3"/>
      <c r="C38" s="3"/>
      <c r="D38" s="3"/>
      <c r="E38" s="3"/>
      <c r="F38" s="3"/>
      <c r="G38" s="18"/>
    </row>
    <row r="39" spans="2:12" x14ac:dyDescent="0.2">
      <c r="B39" s="3"/>
      <c r="C39" s="3"/>
      <c r="D39" s="3"/>
      <c r="E39" s="3" t="s">
        <v>136</v>
      </c>
      <c r="F39" s="3"/>
      <c r="G39" s="18"/>
      <c r="K39" s="3" t="s">
        <v>136</v>
      </c>
    </row>
    <row r="40" spans="2:12" x14ac:dyDescent="0.2">
      <c r="B40" s="3"/>
      <c r="C40" s="3"/>
      <c r="D40" s="3"/>
      <c r="E40" s="3"/>
      <c r="F40" s="3"/>
      <c r="G40" s="18"/>
    </row>
    <row r="41" spans="2:12" x14ac:dyDescent="0.2">
      <c r="B41" s="3"/>
      <c r="C41" s="3"/>
      <c r="D41" s="3"/>
      <c r="E41" s="3" t="s">
        <v>64</v>
      </c>
      <c r="F41" s="3"/>
      <c r="G41" s="18"/>
      <c r="K41" s="3" t="s">
        <v>64</v>
      </c>
    </row>
    <row r="42" spans="2:12" x14ac:dyDescent="0.2">
      <c r="B42" s="3"/>
      <c r="C42" s="3"/>
      <c r="D42" s="3"/>
      <c r="E42" s="3"/>
      <c r="F42" s="3"/>
      <c r="G42" s="18"/>
    </row>
    <row r="43" spans="2:12" x14ac:dyDescent="0.2">
      <c r="B43" s="3"/>
      <c r="C43" s="3"/>
      <c r="D43" s="3"/>
      <c r="E43" s="3" t="s">
        <v>65</v>
      </c>
      <c r="F43" s="3"/>
      <c r="G43" s="18"/>
      <c r="K43" s="3" t="s">
        <v>65</v>
      </c>
    </row>
    <row r="44" spans="2:12" x14ac:dyDescent="0.2">
      <c r="B44" s="3"/>
      <c r="C44" s="3"/>
      <c r="D44" s="3"/>
      <c r="E44" s="3"/>
      <c r="F44" s="3"/>
      <c r="G44" s="18"/>
      <c r="L44" s="3" t="s">
        <v>0</v>
      </c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  <c r="K46"/>
      <c r="L46"/>
    </row>
    <row r="47" spans="2:12" x14ac:dyDescent="0.2">
      <c r="B47" s="3"/>
      <c r="C47" s="3"/>
      <c r="D47" s="3"/>
      <c r="E47" s="3"/>
      <c r="F47" s="3"/>
      <c r="L47"/>
    </row>
    <row r="48" spans="2:12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F50" s="3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</sheetData>
  <phoneticPr fontId="5" type="noConversion"/>
  <pageMargins left="0.5" right="0.25" top="1.25" bottom="0.5" header="0.5" footer="0.5"/>
  <pageSetup paperSize="5" scale="84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D168"/>
  <sheetViews>
    <sheetView showGridLines="0" showRuler="0" zoomScale="114" zoomScaleNormal="114" zoomScaleSheetLayoutView="100" zoomScalePageLayoutView="145" workbookViewId="0">
      <pane ySplit="6" topLeftCell="A7" activePane="bottomLeft" state="frozen"/>
      <selection pane="bottomLeft" activeCell="I78" sqref="I78"/>
    </sheetView>
  </sheetViews>
  <sheetFormatPr defaultRowHeight="12.75" x14ac:dyDescent="0.2"/>
  <cols>
    <col min="1" max="1" width="24" customWidth="1"/>
    <col min="2" max="2" width="8.7109375" style="48" bestFit="1" customWidth="1"/>
    <col min="3" max="3" width="33.85546875" style="54" bestFit="1" customWidth="1"/>
    <col min="4" max="4" width="6.5703125" style="89" customWidth="1"/>
    <col min="5" max="5" width="11.140625" customWidth="1"/>
    <col min="6" max="6" width="10.140625" style="19" bestFit="1" customWidth="1"/>
    <col min="7" max="7" width="16" style="59" customWidth="1"/>
    <col min="8" max="8" width="15" style="62" bestFit="1" customWidth="1"/>
    <col min="9" max="9" width="15" style="61" bestFit="1" customWidth="1"/>
    <col min="10" max="10" width="14.140625" style="59" bestFit="1" customWidth="1"/>
    <col min="11" max="11" width="14.140625" style="63" bestFit="1" customWidth="1"/>
    <col min="12" max="12" width="14.28515625" style="63" customWidth="1"/>
    <col min="13" max="13" width="14.140625" style="63" customWidth="1"/>
    <col min="14" max="15" width="13.7109375" style="59" customWidth="1"/>
    <col min="16" max="16" width="13.28515625" style="59" customWidth="1"/>
    <col min="17" max="17" width="14" customWidth="1"/>
    <col min="18" max="18" width="8.85546875"/>
    <col min="19" max="19" width="14.42578125" style="289" customWidth="1"/>
    <col min="20" max="20" width="14" style="289" bestFit="1" customWidth="1"/>
    <col min="21" max="21" width="12.85546875" bestFit="1" customWidth="1"/>
    <col min="22" max="22" width="8.85546875"/>
    <col min="23" max="23" width="11.28515625" bestFit="1" customWidth="1"/>
    <col min="24" max="108" width="8.85546875"/>
  </cols>
  <sheetData>
    <row r="1" spans="1:108" x14ac:dyDescent="0.2">
      <c r="A1" s="252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08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08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08" s="20" customFormat="1" ht="11.25" customHeight="1" x14ac:dyDescent="0.2">
      <c r="B4" s="51"/>
      <c r="C4" s="52"/>
      <c r="D4" s="100"/>
      <c r="F4" s="21"/>
      <c r="G4" s="72"/>
      <c r="H4" s="95"/>
      <c r="I4" s="91"/>
      <c r="J4" s="72" t="s">
        <v>181</v>
      </c>
      <c r="K4" s="155"/>
      <c r="L4" s="253" t="s">
        <v>187</v>
      </c>
      <c r="M4" s="132"/>
      <c r="N4" s="72" t="s">
        <v>79</v>
      </c>
      <c r="O4" s="72" t="s">
        <v>120</v>
      </c>
      <c r="P4" s="72" t="s">
        <v>121</v>
      </c>
      <c r="Q4" s="72" t="s">
        <v>122</v>
      </c>
      <c r="S4" s="289"/>
      <c r="T4" s="289"/>
    </row>
    <row r="5" spans="1:108" s="20" customFormat="1" ht="12" customHeight="1" x14ac:dyDescent="0.2">
      <c r="A5" s="20" t="s">
        <v>16</v>
      </c>
      <c r="B5" s="51"/>
      <c r="C5" s="52" t="s">
        <v>17</v>
      </c>
      <c r="D5" s="100" t="s">
        <v>73</v>
      </c>
      <c r="E5" s="20" t="s">
        <v>18</v>
      </c>
      <c r="F5" s="21" t="s">
        <v>19</v>
      </c>
      <c r="G5" s="90" t="s">
        <v>146</v>
      </c>
      <c r="H5" s="88" t="s">
        <v>20</v>
      </c>
      <c r="I5" s="88" t="s">
        <v>21</v>
      </c>
      <c r="J5" s="72" t="s">
        <v>22</v>
      </c>
      <c r="K5" s="90" t="s">
        <v>57</v>
      </c>
      <c r="L5" s="254"/>
      <c r="M5" s="250" t="s">
        <v>140</v>
      </c>
      <c r="N5" s="72" t="s">
        <v>22</v>
      </c>
      <c r="O5" s="72" t="s">
        <v>22</v>
      </c>
      <c r="P5" s="72" t="s">
        <v>22</v>
      </c>
      <c r="Q5" s="72" t="s">
        <v>22</v>
      </c>
      <c r="S5" s="289"/>
      <c r="T5" s="289"/>
    </row>
    <row r="6" spans="1:108" s="22" customFormat="1" ht="11.25" customHeight="1" x14ac:dyDescent="0.2">
      <c r="B6" s="92"/>
      <c r="C6" s="53" t="s">
        <v>23</v>
      </c>
      <c r="D6" s="281" t="s">
        <v>218</v>
      </c>
      <c r="E6" s="22" t="s">
        <v>24</v>
      </c>
      <c r="F6" s="23" t="s">
        <v>25</v>
      </c>
      <c r="G6" s="94" t="s">
        <v>147</v>
      </c>
      <c r="H6" s="96"/>
      <c r="I6" s="97"/>
      <c r="J6" s="93" t="s">
        <v>26</v>
      </c>
      <c r="K6" s="94" t="s">
        <v>26</v>
      </c>
      <c r="L6" s="255"/>
      <c r="M6" s="251"/>
      <c r="N6" s="93" t="s">
        <v>26</v>
      </c>
      <c r="O6" s="93" t="s">
        <v>26</v>
      </c>
      <c r="P6" s="93" t="s">
        <v>26</v>
      </c>
      <c r="Q6" s="93" t="s">
        <v>26</v>
      </c>
      <c r="R6" s="20"/>
      <c r="S6" s="289" t="s">
        <v>241</v>
      </c>
      <c r="T6" s="289" t="s">
        <v>240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</row>
    <row r="7" spans="1:108" ht="14.25" customHeight="1" x14ac:dyDescent="0.2">
      <c r="A7" s="20" t="s">
        <v>137</v>
      </c>
      <c r="C7" s="102" t="s">
        <v>77</v>
      </c>
      <c r="D7" s="337">
        <v>3.6025</v>
      </c>
      <c r="E7" s="102"/>
      <c r="F7" s="103">
        <v>45930</v>
      </c>
      <c r="G7" s="104">
        <v>1512541.77</v>
      </c>
      <c r="H7" s="104">
        <f t="shared" ref="H7:I13" si="0">SUM(G7)</f>
        <v>1512541.77</v>
      </c>
      <c r="I7" s="104">
        <f t="shared" si="0"/>
        <v>1512541.77</v>
      </c>
      <c r="J7" s="104">
        <f>22454.93+26955.06+27276.23</f>
        <v>76686.22</v>
      </c>
      <c r="K7" s="105">
        <f>SUM(J7+N7+O7+P7)</f>
        <v>352219.91</v>
      </c>
      <c r="L7" s="140"/>
      <c r="M7" s="142"/>
      <c r="N7" s="61">
        <v>62431.77</v>
      </c>
      <c r="O7" s="61">
        <v>138777.60999999999</v>
      </c>
      <c r="P7" s="61">
        <v>74324.31</v>
      </c>
      <c r="Q7" s="61">
        <f>22454.93+26955.06+27276.23</f>
        <v>76686.22</v>
      </c>
      <c r="S7" s="289">
        <f>SUM(N7:Q7)</f>
        <v>352219.90999999992</v>
      </c>
    </row>
    <row r="8" spans="1:108" ht="14.25" customHeight="1" x14ac:dyDescent="0.2">
      <c r="C8" s="54" t="s">
        <v>70</v>
      </c>
      <c r="D8" s="338">
        <v>4.2519999999999998</v>
      </c>
      <c r="F8" s="25">
        <v>45930</v>
      </c>
      <c r="G8" s="58">
        <v>800</v>
      </c>
      <c r="H8" s="58">
        <f t="shared" si="0"/>
        <v>800</v>
      </c>
      <c r="I8" s="58">
        <f t="shared" si="0"/>
        <v>800</v>
      </c>
      <c r="J8" s="58">
        <v>556.94000000000005</v>
      </c>
      <c r="K8" s="63">
        <f>SUM(J8+N8+O8+P8)</f>
        <v>14778.47</v>
      </c>
      <c r="L8" s="140"/>
      <c r="M8" s="142"/>
      <c r="N8" s="58">
        <v>6372.56</v>
      </c>
      <c r="O8" s="58">
        <v>7037.37</v>
      </c>
      <c r="P8" s="61">
        <v>811.6</v>
      </c>
      <c r="Q8" s="61">
        <v>556.94000000000005</v>
      </c>
      <c r="S8" s="289">
        <f>SUM(N8:Q8)</f>
        <v>14778.470000000001</v>
      </c>
    </row>
    <row r="9" spans="1:108" ht="14.25" customHeight="1" x14ac:dyDescent="0.2">
      <c r="A9" s="277"/>
      <c r="B9" s="278"/>
      <c r="C9" s="102" t="s">
        <v>71</v>
      </c>
      <c r="D9" s="337">
        <v>4.3583999999999996</v>
      </c>
      <c r="E9" s="102"/>
      <c r="F9" s="103">
        <v>45930</v>
      </c>
      <c r="G9" s="104">
        <v>4000000</v>
      </c>
      <c r="H9" s="104">
        <f t="shared" si="0"/>
        <v>4000000</v>
      </c>
      <c r="I9" s="104">
        <f t="shared" si="0"/>
        <v>4000000</v>
      </c>
      <c r="J9" s="123">
        <v>80548.89</v>
      </c>
      <c r="K9" s="105">
        <f>SUM(J9+N9+O9+P9)</f>
        <v>478906.07</v>
      </c>
      <c r="L9" s="140"/>
      <c r="M9" s="142"/>
      <c r="N9" s="58">
        <v>60989.65</v>
      </c>
      <c r="O9" s="58">
        <v>171631.41</v>
      </c>
      <c r="P9" s="127">
        <v>165736.12</v>
      </c>
      <c r="Q9" s="127">
        <v>80548.89</v>
      </c>
      <c r="S9" s="289">
        <f>SUM(N9:Q9)</f>
        <v>478906.07</v>
      </c>
    </row>
    <row r="10" spans="1:108" ht="14.25" customHeight="1" x14ac:dyDescent="0.2">
      <c r="A10" s="277"/>
      <c r="B10" s="278"/>
      <c r="C10" s="54" t="s">
        <v>88</v>
      </c>
      <c r="D10" s="338">
        <v>4.1399999999999997</v>
      </c>
      <c r="E10" t="s">
        <v>0</v>
      </c>
      <c r="F10" s="25">
        <v>45930</v>
      </c>
      <c r="G10" s="58">
        <v>9853.66</v>
      </c>
      <c r="H10" s="58">
        <f t="shared" si="0"/>
        <v>9853.66</v>
      </c>
      <c r="I10" s="58">
        <f t="shared" si="0"/>
        <v>9853.66</v>
      </c>
      <c r="J10" s="3">
        <v>9971.83</v>
      </c>
      <c r="K10" s="63">
        <f>SUM(J10+N10+O10+P10)</f>
        <v>14251.15</v>
      </c>
      <c r="L10" s="140"/>
      <c r="M10" s="142"/>
      <c r="N10" s="58">
        <v>3935.34</v>
      </c>
      <c r="O10" s="58">
        <v>171.13</v>
      </c>
      <c r="P10" s="127">
        <v>172.85</v>
      </c>
      <c r="Q10" s="127">
        <v>9971.83</v>
      </c>
      <c r="S10" s="289">
        <f>SUM(N10:Q10)</f>
        <v>14251.150000000001</v>
      </c>
    </row>
    <row r="11" spans="1:108" ht="14.25" customHeight="1" x14ac:dyDescent="0.2">
      <c r="A11" s="277"/>
      <c r="B11" s="278"/>
      <c r="C11" s="102" t="s">
        <v>139</v>
      </c>
      <c r="D11" s="337">
        <v>4.29</v>
      </c>
      <c r="E11" s="102" t="s">
        <v>0</v>
      </c>
      <c r="F11" s="103">
        <v>45930</v>
      </c>
      <c r="G11" s="107">
        <v>10739194.23</v>
      </c>
      <c r="H11" s="104">
        <f t="shared" si="0"/>
        <v>10739194.23</v>
      </c>
      <c r="I11" s="104">
        <f t="shared" si="0"/>
        <v>10739194.23</v>
      </c>
      <c r="J11" s="111">
        <v>9084.9699999999993</v>
      </c>
      <c r="K11" s="105">
        <f>SUM(J11+N11+O11+P11)</f>
        <v>9913.82</v>
      </c>
      <c r="L11" s="140"/>
      <c r="M11" s="142"/>
      <c r="N11" s="59">
        <v>291.97000000000003</v>
      </c>
      <c r="O11" s="59">
        <v>267.76</v>
      </c>
      <c r="P11" s="130">
        <v>269.12</v>
      </c>
      <c r="Q11" s="130">
        <v>9084.9699999999993</v>
      </c>
      <c r="S11" s="289">
        <f>SUM(N11:Q11)</f>
        <v>9913.82</v>
      </c>
    </row>
    <row r="12" spans="1:108" ht="14.25" customHeight="1" x14ac:dyDescent="0.2">
      <c r="A12" s="277"/>
      <c r="B12" s="278"/>
      <c r="C12" s="54" t="s">
        <v>90</v>
      </c>
      <c r="D12" s="338">
        <v>0</v>
      </c>
      <c r="E12" t="s">
        <v>0</v>
      </c>
      <c r="F12" s="25">
        <v>45930</v>
      </c>
      <c r="G12" s="58">
        <v>0</v>
      </c>
      <c r="H12" s="58">
        <f>SUM(G12)</f>
        <v>0</v>
      </c>
      <c r="I12" s="58">
        <f t="shared" si="0"/>
        <v>0</v>
      </c>
      <c r="J12" s="3">
        <v>24.57</v>
      </c>
      <c r="K12" s="63">
        <f>SUM(J12+N12+O12+P12)</f>
        <v>498.09999999999997</v>
      </c>
      <c r="L12" s="140"/>
      <c r="M12" s="142"/>
      <c r="N12" s="58">
        <v>473.4</v>
      </c>
      <c r="O12" s="58">
        <v>0.13</v>
      </c>
      <c r="P12" s="127">
        <v>0</v>
      </c>
      <c r="Q12" s="127">
        <v>24.57</v>
      </c>
      <c r="S12" s="289">
        <f>SUM(N12:Q12)</f>
        <v>498.09999999999997</v>
      </c>
    </row>
    <row r="13" spans="1:108" ht="14.25" customHeight="1" x14ac:dyDescent="0.2">
      <c r="A13" s="277"/>
      <c r="B13" s="278"/>
      <c r="C13" s="261" t="s">
        <v>134</v>
      </c>
      <c r="D13" s="339">
        <v>4.3495999999999997</v>
      </c>
      <c r="E13" s="261" t="s">
        <v>0</v>
      </c>
      <c r="F13" s="262">
        <v>45930</v>
      </c>
      <c r="G13" s="104">
        <v>5186013.13</v>
      </c>
      <c r="H13" s="104">
        <f>SUM(G13)</f>
        <v>5186013.13</v>
      </c>
      <c r="I13" s="104">
        <f t="shared" si="0"/>
        <v>5186013.13</v>
      </c>
      <c r="J13" s="123">
        <f>47970.85+28824.82+23776.27</f>
        <v>100571.94</v>
      </c>
      <c r="K13" s="105">
        <f>SUM(J13+N13+O13+P13)</f>
        <v>507422.92999999993</v>
      </c>
      <c r="L13" s="140"/>
      <c r="M13" s="142"/>
      <c r="N13" s="58">
        <v>78704.240000000005</v>
      </c>
      <c r="O13" s="58">
        <v>163510.42000000001</v>
      </c>
      <c r="P13" s="127">
        <v>164636.32999999999</v>
      </c>
      <c r="Q13" s="127">
        <f>47970.85+28824.82+23776.27</f>
        <v>100571.94</v>
      </c>
      <c r="S13" s="289">
        <f>SUM(N13:Q13)</f>
        <v>507422.93</v>
      </c>
    </row>
    <row r="14" spans="1:108" ht="14.25" customHeight="1" x14ac:dyDescent="0.2">
      <c r="A14" s="277"/>
      <c r="B14" s="278"/>
      <c r="C14" s="233" t="s">
        <v>182</v>
      </c>
      <c r="D14" s="340">
        <v>4.3499999999999996</v>
      </c>
      <c r="E14" s="233" t="s">
        <v>0</v>
      </c>
      <c r="F14" s="234">
        <v>45930</v>
      </c>
      <c r="G14" s="257">
        <v>6049531.2999999998</v>
      </c>
      <c r="H14" s="238">
        <f>SUM(G14)</f>
        <v>6049531.2999999998</v>
      </c>
      <c r="I14" s="238">
        <f t="shared" ref="I14" si="1">SUM(H14)</f>
        <v>6049531.2999999998</v>
      </c>
      <c r="J14" s="257">
        <f>20766.65+18859.49</f>
        <v>39626.14</v>
      </c>
      <c r="K14" s="263">
        <f>SUM(J14+N14+O14+P14)</f>
        <v>39626.14</v>
      </c>
      <c r="L14" s="140"/>
      <c r="M14" s="142"/>
      <c r="N14" s="58">
        <v>0</v>
      </c>
      <c r="O14" s="58">
        <v>0</v>
      </c>
      <c r="P14" s="127">
        <v>0</v>
      </c>
      <c r="Q14" s="127">
        <f>20766.65+18859.49</f>
        <v>39626.14</v>
      </c>
      <c r="S14" s="289">
        <f>SUM(N14:Q14)</f>
        <v>39626.14</v>
      </c>
    </row>
    <row r="15" spans="1:108" ht="14.25" customHeight="1" x14ac:dyDescent="0.2">
      <c r="A15" s="277"/>
      <c r="B15" s="278"/>
      <c r="C15" s="102" t="s">
        <v>130</v>
      </c>
      <c r="D15" s="337">
        <v>4.6500000000000004</v>
      </c>
      <c r="E15" s="108" t="s">
        <v>131</v>
      </c>
      <c r="F15" s="106">
        <v>46073</v>
      </c>
      <c r="G15" s="107">
        <v>244000</v>
      </c>
      <c r="H15" s="104">
        <v>244000</v>
      </c>
      <c r="I15" s="123">
        <v>244512.4</v>
      </c>
      <c r="J15" s="111">
        <v>2859.81</v>
      </c>
      <c r="K15" s="105">
        <f>SUM(J15+N15+O15+P15)</f>
        <v>11345.99</v>
      </c>
      <c r="L15" s="140"/>
      <c r="M15" s="142"/>
      <c r="N15" s="59">
        <v>2859.81</v>
      </c>
      <c r="O15" s="59">
        <v>2797.64</v>
      </c>
      <c r="P15" s="130">
        <v>2828.73</v>
      </c>
      <c r="Q15" s="130">
        <v>2859.81</v>
      </c>
      <c r="S15" s="289">
        <f>SUM(N15:Q15)</f>
        <v>11345.99</v>
      </c>
    </row>
    <row r="16" spans="1:108" ht="14.25" customHeight="1" x14ac:dyDescent="0.2">
      <c r="A16" s="277"/>
      <c r="B16" s="278"/>
      <c r="C16" s="54" t="s">
        <v>156</v>
      </c>
      <c r="D16" s="341">
        <v>4.55</v>
      </c>
      <c r="E16" s="129" t="s">
        <v>157</v>
      </c>
      <c r="F16" s="126">
        <v>46248</v>
      </c>
      <c r="G16" s="62">
        <v>244000</v>
      </c>
      <c r="H16" s="61">
        <v>244000</v>
      </c>
      <c r="I16" s="127">
        <v>244000</v>
      </c>
      <c r="J16" s="130">
        <v>2798.31</v>
      </c>
      <c r="K16" s="64">
        <f>SUM(J16+N16+O16+P16)</f>
        <v>6934.9500000000007</v>
      </c>
      <c r="L16" s="140"/>
      <c r="M16" s="142"/>
      <c r="N16" s="65">
        <v>0</v>
      </c>
      <c r="O16" s="59">
        <v>1368.74</v>
      </c>
      <c r="P16" s="130">
        <v>2767.9</v>
      </c>
      <c r="Q16" s="130">
        <v>2798.31</v>
      </c>
      <c r="S16" s="289">
        <f>SUM(N16:Q16)</f>
        <v>6934.9500000000007</v>
      </c>
    </row>
    <row r="17" spans="1:19" ht="14.25" customHeight="1" x14ac:dyDescent="0.2">
      <c r="A17" s="277"/>
      <c r="B17" s="278"/>
      <c r="C17" s="102" t="s">
        <v>158</v>
      </c>
      <c r="D17" s="337">
        <v>4.38</v>
      </c>
      <c r="E17" s="102" t="s">
        <v>159</v>
      </c>
      <c r="F17" s="103">
        <v>46395</v>
      </c>
      <c r="G17" s="107">
        <v>1000000</v>
      </c>
      <c r="H17" s="107">
        <v>1000000</v>
      </c>
      <c r="I17" s="104">
        <v>1000000</v>
      </c>
      <c r="J17" s="107">
        <v>11027.4</v>
      </c>
      <c r="K17" s="105">
        <f>SUM(J17+N17+O17+P17)</f>
        <v>31763.699999999997</v>
      </c>
      <c r="L17" s="140"/>
      <c r="M17" s="142"/>
      <c r="N17" s="59">
        <v>0</v>
      </c>
      <c r="O17" s="59">
        <v>9828.77</v>
      </c>
      <c r="P17" s="62">
        <v>10907.53</v>
      </c>
      <c r="Q17" s="62">
        <v>11027.4</v>
      </c>
      <c r="S17" s="289">
        <f>SUM(N17:Q17)</f>
        <v>31763.700000000004</v>
      </c>
    </row>
    <row r="18" spans="1:19" ht="14.25" customHeight="1" x14ac:dyDescent="0.2">
      <c r="A18" s="279"/>
      <c r="B18" s="57"/>
      <c r="C18" s="54" t="s">
        <v>160</v>
      </c>
      <c r="D18" s="341">
        <v>4.2</v>
      </c>
      <c r="E18" s="54" t="s">
        <v>161</v>
      </c>
      <c r="F18" s="128">
        <v>46430</v>
      </c>
      <c r="G18" s="62">
        <v>244000</v>
      </c>
      <c r="H18" s="62">
        <v>244000</v>
      </c>
      <c r="I18" s="61">
        <v>244000</v>
      </c>
      <c r="J18" s="62">
        <v>2583.06</v>
      </c>
      <c r="K18" s="64">
        <f>SUM(J18+N18+O18+P18)</f>
        <v>6457.65</v>
      </c>
      <c r="L18" s="140"/>
      <c r="M18" s="142"/>
      <c r="N18" s="59">
        <v>0</v>
      </c>
      <c r="O18" s="59">
        <v>1319.61</v>
      </c>
      <c r="P18" s="62">
        <v>2554.98</v>
      </c>
      <c r="Q18" s="62">
        <v>2583.06</v>
      </c>
      <c r="S18" s="289">
        <f>SUM(N18:Q18)</f>
        <v>6457.65</v>
      </c>
    </row>
    <row r="19" spans="1:19" ht="14.25" customHeight="1" x14ac:dyDescent="0.2">
      <c r="A19" s="279"/>
      <c r="B19" s="278"/>
      <c r="C19" s="102" t="s">
        <v>162</v>
      </c>
      <c r="D19" s="337">
        <v>3.36</v>
      </c>
      <c r="E19" s="102" t="s">
        <v>163</v>
      </c>
      <c r="F19" s="103">
        <v>46433</v>
      </c>
      <c r="G19" s="107">
        <v>1050000</v>
      </c>
      <c r="H19" s="107">
        <v>1039213</v>
      </c>
      <c r="I19" s="104">
        <v>1039213</v>
      </c>
      <c r="J19" s="107">
        <v>10600.46</v>
      </c>
      <c r="K19" s="105">
        <f>SUM(J19+N19+O19+P19)</f>
        <v>23390.15</v>
      </c>
      <c r="L19" s="140"/>
      <c r="M19" s="142"/>
      <c r="N19" s="59">
        <v>0</v>
      </c>
      <c r="O19" s="59">
        <v>2304.4499999999998</v>
      </c>
      <c r="P19" s="62">
        <v>10485.24</v>
      </c>
      <c r="Q19" s="62">
        <v>10600.46</v>
      </c>
      <c r="S19" s="289">
        <f>SUM(N19:Q19)</f>
        <v>23390.149999999998</v>
      </c>
    </row>
    <row r="20" spans="1:19" ht="14.25" customHeight="1" x14ac:dyDescent="0.2">
      <c r="A20" s="279"/>
      <c r="B20" s="57"/>
      <c r="C20" s="54" t="s">
        <v>164</v>
      </c>
      <c r="D20" s="341">
        <v>4.3</v>
      </c>
      <c r="E20" s="54" t="s">
        <v>165</v>
      </c>
      <c r="F20" s="128">
        <v>46457</v>
      </c>
      <c r="G20" s="62">
        <v>244000</v>
      </c>
      <c r="H20" s="62">
        <v>244000</v>
      </c>
      <c r="I20" s="61">
        <v>244000</v>
      </c>
      <c r="J20" s="62">
        <v>2644.56</v>
      </c>
      <c r="K20" s="64">
        <f>SUM(J20+N20+O20+P20)</f>
        <v>5835.27</v>
      </c>
      <c r="L20" s="140"/>
      <c r="M20" s="142"/>
      <c r="N20" s="59">
        <v>0</v>
      </c>
      <c r="O20" s="59">
        <v>574.9</v>
      </c>
      <c r="P20" s="62">
        <v>2615.81</v>
      </c>
      <c r="Q20" s="62">
        <v>2644.56</v>
      </c>
      <c r="S20" s="289">
        <f>SUM(N20:Q20)</f>
        <v>5835.27</v>
      </c>
    </row>
    <row r="21" spans="1:19" ht="14.25" customHeight="1" x14ac:dyDescent="0.2">
      <c r="A21" s="279"/>
      <c r="B21" s="278"/>
      <c r="C21" s="54" t="s">
        <v>177</v>
      </c>
      <c r="D21" s="341">
        <v>4.3499999999999996</v>
      </c>
      <c r="E21" s="54" t="s">
        <v>171</v>
      </c>
      <c r="F21" s="128">
        <v>46562</v>
      </c>
      <c r="G21" s="62">
        <v>244000</v>
      </c>
      <c r="H21" s="62">
        <v>244000</v>
      </c>
      <c r="I21" s="61">
        <v>244000</v>
      </c>
      <c r="J21" s="62">
        <v>2675.31</v>
      </c>
      <c r="K21" s="64">
        <f>SUM(J21+N21+O21+P21)</f>
        <v>2849.79</v>
      </c>
      <c r="L21" s="140"/>
      <c r="M21" s="142"/>
      <c r="N21" s="59">
        <v>0</v>
      </c>
      <c r="O21" s="59">
        <v>0</v>
      </c>
      <c r="P21" s="62">
        <v>174.48</v>
      </c>
      <c r="Q21" s="62">
        <v>2675.31</v>
      </c>
      <c r="S21" s="289">
        <f>SUM(N21:Q21)</f>
        <v>2849.79</v>
      </c>
    </row>
    <row r="22" spans="1:19" ht="14.25" customHeight="1" x14ac:dyDescent="0.2">
      <c r="A22" s="279"/>
      <c r="B22" s="278"/>
      <c r="C22" s="102" t="s">
        <v>168</v>
      </c>
      <c r="D22" s="337">
        <v>4.3</v>
      </c>
      <c r="E22" s="102" t="s">
        <v>172</v>
      </c>
      <c r="F22" s="103">
        <v>46566</v>
      </c>
      <c r="G22" s="107">
        <v>245000</v>
      </c>
      <c r="H22" s="107">
        <v>245000</v>
      </c>
      <c r="I22" s="104">
        <v>245000</v>
      </c>
      <c r="J22" s="107">
        <v>2655.4</v>
      </c>
      <c r="K22" s="105">
        <f>SUM(J22+N22+O22+P22)</f>
        <v>2741.9900000000002</v>
      </c>
      <c r="L22" s="140"/>
      <c r="M22" s="142"/>
      <c r="N22" s="59">
        <v>0</v>
      </c>
      <c r="O22" s="59">
        <v>0</v>
      </c>
      <c r="P22" s="62">
        <v>86.59</v>
      </c>
      <c r="Q22" s="62">
        <v>2655.4</v>
      </c>
      <c r="S22" s="289">
        <f>SUM(N22:Q22)</f>
        <v>2741.9900000000002</v>
      </c>
    </row>
    <row r="23" spans="1:19" ht="14.25" customHeight="1" x14ac:dyDescent="0.2">
      <c r="A23" s="279"/>
      <c r="B23" s="278"/>
      <c r="C23" s="272" t="s">
        <v>169</v>
      </c>
      <c r="D23" s="342">
        <v>4.3499999999999996</v>
      </c>
      <c r="E23" s="272" t="s">
        <v>173</v>
      </c>
      <c r="F23" s="275">
        <v>46568</v>
      </c>
      <c r="G23" s="62">
        <v>249000</v>
      </c>
      <c r="H23" s="62">
        <v>249000</v>
      </c>
      <c r="I23" s="61">
        <v>249000</v>
      </c>
      <c r="J23" s="62">
        <v>2730.13</v>
      </c>
      <c r="K23" s="64">
        <f>SUM(J23+N23+O23+P23)</f>
        <v>2730.13</v>
      </c>
      <c r="L23" s="140"/>
      <c r="M23" s="142"/>
      <c r="N23" s="59">
        <v>0</v>
      </c>
      <c r="O23" s="59">
        <v>0</v>
      </c>
      <c r="P23" s="62">
        <v>0</v>
      </c>
      <c r="Q23" s="62">
        <v>2730.13</v>
      </c>
      <c r="S23" s="289">
        <f>SUM(N23:Q23)</f>
        <v>2730.13</v>
      </c>
    </row>
    <row r="24" spans="1:19" ht="14.25" customHeight="1" x14ac:dyDescent="0.2">
      <c r="A24" s="279"/>
      <c r="B24" s="278"/>
      <c r="C24" s="261" t="s">
        <v>188</v>
      </c>
      <c r="D24" s="339">
        <v>4.05</v>
      </c>
      <c r="E24" s="261" t="s">
        <v>189</v>
      </c>
      <c r="F24" s="262">
        <v>46570</v>
      </c>
      <c r="G24" s="107">
        <v>249000</v>
      </c>
      <c r="H24" s="107">
        <v>249000</v>
      </c>
      <c r="I24" s="104">
        <v>249000</v>
      </c>
      <c r="J24" s="107">
        <v>2486.59</v>
      </c>
      <c r="K24" s="105">
        <f>SUM(J24+N24+O24+P24)</f>
        <v>2486.59</v>
      </c>
      <c r="L24" s="140"/>
      <c r="M24" s="142"/>
      <c r="N24" s="59">
        <v>0</v>
      </c>
      <c r="O24" s="59">
        <v>0</v>
      </c>
      <c r="P24" s="62">
        <v>0</v>
      </c>
      <c r="Q24" s="62">
        <v>2486.59</v>
      </c>
      <c r="S24" s="289">
        <f>SUM(N24:Q24)</f>
        <v>2486.59</v>
      </c>
    </row>
    <row r="25" spans="1:19" ht="14.25" customHeight="1" x14ac:dyDescent="0.2">
      <c r="A25" s="279"/>
      <c r="B25" s="278"/>
      <c r="C25" s="272" t="s">
        <v>183</v>
      </c>
      <c r="D25" s="342">
        <v>4.2300000000000004</v>
      </c>
      <c r="E25" s="272" t="s">
        <v>184</v>
      </c>
      <c r="F25" s="275">
        <v>46633</v>
      </c>
      <c r="G25" s="130">
        <v>1000000</v>
      </c>
      <c r="H25" s="130">
        <v>1000000</v>
      </c>
      <c r="I25" s="127">
        <v>1000000</v>
      </c>
      <c r="J25" s="130">
        <v>3129.04</v>
      </c>
      <c r="K25" s="64">
        <f>SUM(J25+N25+O25+P25)</f>
        <v>3129.04</v>
      </c>
      <c r="L25" s="140"/>
      <c r="M25" s="142"/>
      <c r="N25" s="59">
        <v>0</v>
      </c>
      <c r="O25" s="59">
        <v>0</v>
      </c>
      <c r="P25" s="62">
        <v>0</v>
      </c>
      <c r="Q25" s="130">
        <v>3129.04</v>
      </c>
      <c r="S25" s="289">
        <f>SUM(N25:Q25)</f>
        <v>3129.04</v>
      </c>
    </row>
    <row r="26" spans="1:19" ht="14.25" customHeight="1" x14ac:dyDescent="0.2">
      <c r="A26" s="280"/>
      <c r="B26" s="278"/>
      <c r="C26" s="261" t="s">
        <v>190</v>
      </c>
      <c r="D26" s="339">
        <v>4.05</v>
      </c>
      <c r="E26" s="261" t="s">
        <v>191</v>
      </c>
      <c r="F26" s="262">
        <v>46983</v>
      </c>
      <c r="G26" s="111">
        <v>1000000</v>
      </c>
      <c r="H26" s="111">
        <v>1000000</v>
      </c>
      <c r="I26" s="123">
        <v>1000000</v>
      </c>
      <c r="J26" s="111">
        <v>4216.4399999999996</v>
      </c>
      <c r="K26" s="105">
        <f>SUM(J26+N26+O26+P26)</f>
        <v>4216.4399999999996</v>
      </c>
      <c r="L26" s="140"/>
      <c r="M26" s="142"/>
      <c r="N26" s="59">
        <v>0</v>
      </c>
      <c r="O26" s="59">
        <v>0</v>
      </c>
      <c r="P26" s="62">
        <v>0</v>
      </c>
      <c r="Q26" s="130">
        <v>4216.4399999999996</v>
      </c>
      <c r="S26" s="289">
        <f>SUM(N26:Q26)</f>
        <v>4216.4399999999996</v>
      </c>
    </row>
    <row r="27" spans="1:19" ht="14.25" customHeight="1" x14ac:dyDescent="0.2">
      <c r="A27" s="280"/>
      <c r="B27" s="278"/>
      <c r="C27" s="233" t="s">
        <v>183</v>
      </c>
      <c r="D27" s="340">
        <v>4.0999999999999996</v>
      </c>
      <c r="E27" s="233" t="s">
        <v>192</v>
      </c>
      <c r="F27" s="234">
        <v>46986</v>
      </c>
      <c r="G27" s="259">
        <v>1130000</v>
      </c>
      <c r="H27" s="259">
        <v>1130000</v>
      </c>
      <c r="I27" s="257">
        <v>1130000</v>
      </c>
      <c r="J27" s="259">
        <v>4950.33</v>
      </c>
      <c r="K27" s="236">
        <f>SUM(J27+N27+O27+P27)</f>
        <v>4950.33</v>
      </c>
      <c r="L27" s="140"/>
      <c r="M27" s="142"/>
      <c r="N27" s="258">
        <v>0</v>
      </c>
      <c r="O27" s="237">
        <v>0</v>
      </c>
      <c r="P27" s="235">
        <v>0</v>
      </c>
      <c r="Q27" s="259">
        <v>4950.33</v>
      </c>
      <c r="S27" s="289">
        <f>SUM(N27:Q27)</f>
        <v>4950.33</v>
      </c>
    </row>
    <row r="28" spans="1:19" ht="14.25" customHeight="1" x14ac:dyDescent="0.2">
      <c r="A28" s="280"/>
      <c r="B28" s="278"/>
      <c r="C28" s="199" t="s">
        <v>104</v>
      </c>
      <c r="D28" s="343">
        <v>5.47</v>
      </c>
      <c r="E28" s="199" t="s">
        <v>0</v>
      </c>
      <c r="F28" s="208">
        <v>45646</v>
      </c>
      <c r="G28" s="86">
        <v>0</v>
      </c>
      <c r="H28" s="86">
        <v>0</v>
      </c>
      <c r="I28" s="86">
        <v>0</v>
      </c>
      <c r="J28" s="86">
        <v>0</v>
      </c>
      <c r="K28" s="83">
        <f>SUM(J28+N28+O28+P28)</f>
        <v>121389.04</v>
      </c>
      <c r="L28" s="140">
        <v>356673.97</v>
      </c>
      <c r="M28" s="142">
        <v>10000000</v>
      </c>
      <c r="N28" s="59">
        <v>121389.04</v>
      </c>
      <c r="O28" s="59">
        <v>0</v>
      </c>
      <c r="P28" s="59">
        <v>0</v>
      </c>
      <c r="Q28" s="62">
        <v>0</v>
      </c>
      <c r="S28" s="289">
        <f>SUM(N28:Q28)</f>
        <v>121389.04</v>
      </c>
    </row>
    <row r="29" spans="1:19" ht="14.25" customHeight="1" x14ac:dyDescent="0.2">
      <c r="A29" s="54"/>
      <c r="B29" s="278"/>
      <c r="C29" s="199" t="s">
        <v>89</v>
      </c>
      <c r="D29" s="343">
        <v>1.5</v>
      </c>
      <c r="E29" s="209" t="s">
        <v>119</v>
      </c>
      <c r="F29" s="208">
        <v>45626</v>
      </c>
      <c r="G29" s="200">
        <v>0</v>
      </c>
      <c r="H29" s="200">
        <v>0</v>
      </c>
      <c r="I29" s="210">
        <v>0</v>
      </c>
      <c r="J29" s="198">
        <v>0</v>
      </c>
      <c r="K29" s="83">
        <f>SUM(J29+N29+O29+P29)</f>
        <v>7977.51</v>
      </c>
      <c r="L29" s="140">
        <v>47351.32</v>
      </c>
      <c r="M29" s="142">
        <v>951000</v>
      </c>
      <c r="N29" s="59">
        <v>7977.51</v>
      </c>
      <c r="O29" s="59">
        <v>0</v>
      </c>
      <c r="P29" s="59">
        <v>0</v>
      </c>
      <c r="Q29" s="62">
        <v>0</v>
      </c>
      <c r="S29" s="289">
        <f>SUM(N29:Q29)</f>
        <v>7977.51</v>
      </c>
    </row>
    <row r="30" spans="1:19" x14ac:dyDescent="0.2">
      <c r="A30" s="54"/>
      <c r="B30" s="57"/>
      <c r="C30" s="199" t="s">
        <v>124</v>
      </c>
      <c r="D30" s="343">
        <v>4.95</v>
      </c>
      <c r="E30" s="199" t="s">
        <v>125</v>
      </c>
      <c r="F30" s="225">
        <v>45708</v>
      </c>
      <c r="G30" s="200">
        <v>0</v>
      </c>
      <c r="H30" s="86">
        <v>0</v>
      </c>
      <c r="I30" s="86">
        <v>0</v>
      </c>
      <c r="J30" s="200">
        <v>0</v>
      </c>
      <c r="K30" s="83">
        <f>SUM(J30+N30+O30+P30)</f>
        <v>4828.8899999999994</v>
      </c>
      <c r="L30" s="140">
        <v>12325.5</v>
      </c>
      <c r="M30" s="142">
        <v>249000</v>
      </c>
      <c r="N30" s="58">
        <v>3106.7</v>
      </c>
      <c r="O30" s="59">
        <v>1722.19</v>
      </c>
      <c r="P30" s="59">
        <v>0</v>
      </c>
      <c r="Q30" s="62">
        <v>0</v>
      </c>
      <c r="S30" s="289">
        <f>SUM(N30:Q30)</f>
        <v>4828.8899999999994</v>
      </c>
    </row>
    <row r="31" spans="1:19" x14ac:dyDescent="0.2">
      <c r="A31" s="54"/>
      <c r="B31" s="57"/>
      <c r="C31" s="199" t="s">
        <v>126</v>
      </c>
      <c r="D31" s="343">
        <v>5</v>
      </c>
      <c r="E31" s="209" t="s">
        <v>127</v>
      </c>
      <c r="F31" s="208">
        <v>45709</v>
      </c>
      <c r="G31" s="200">
        <v>0</v>
      </c>
      <c r="H31" s="200">
        <v>0</v>
      </c>
      <c r="I31" s="86">
        <v>0</v>
      </c>
      <c r="J31" s="200">
        <v>0</v>
      </c>
      <c r="K31" s="83">
        <f>SUM(J31+N31+O31+P31)</f>
        <v>4694.79</v>
      </c>
      <c r="L31" s="140">
        <v>11900</v>
      </c>
      <c r="M31" s="142">
        <v>238000</v>
      </c>
      <c r="N31" s="59">
        <v>2999.45</v>
      </c>
      <c r="O31" s="59">
        <v>1695.34</v>
      </c>
      <c r="P31" s="59">
        <v>0</v>
      </c>
      <c r="Q31" s="62">
        <v>0</v>
      </c>
      <c r="S31" s="289">
        <f>SUM(N31:Q31)</f>
        <v>4694.79</v>
      </c>
    </row>
    <row r="32" spans="1:19" x14ac:dyDescent="0.2">
      <c r="A32" s="54"/>
      <c r="B32" s="57"/>
      <c r="C32" s="199" t="s">
        <v>105</v>
      </c>
      <c r="D32" s="343">
        <v>5.25</v>
      </c>
      <c r="E32" s="199" t="s">
        <v>97</v>
      </c>
      <c r="F32" s="225">
        <v>45733</v>
      </c>
      <c r="G32" s="200">
        <v>0</v>
      </c>
      <c r="H32" s="86">
        <v>0</v>
      </c>
      <c r="I32" s="210">
        <v>0</v>
      </c>
      <c r="J32" s="200">
        <v>0</v>
      </c>
      <c r="K32" s="83">
        <f>SUM(J32+N32+O32+P32)</f>
        <v>5950.1399999999994</v>
      </c>
      <c r="L32" s="140">
        <v>26180.82</v>
      </c>
      <c r="M32" s="142">
        <v>249000</v>
      </c>
      <c r="N32" s="59">
        <v>3300.04</v>
      </c>
      <c r="O32" s="59">
        <v>2650.1</v>
      </c>
      <c r="P32" s="59">
        <v>0</v>
      </c>
      <c r="Q32" s="62">
        <v>0</v>
      </c>
      <c r="S32" s="289">
        <f>SUM(N32:Q32)</f>
        <v>5950.1399999999994</v>
      </c>
    </row>
    <row r="33" spans="1:23" x14ac:dyDescent="0.2">
      <c r="A33" s="54"/>
      <c r="B33" s="57"/>
      <c r="C33" s="199" t="s">
        <v>98</v>
      </c>
      <c r="D33" s="343">
        <v>5.25</v>
      </c>
      <c r="E33" s="209">
        <v>254673278</v>
      </c>
      <c r="F33" s="225">
        <v>45737</v>
      </c>
      <c r="G33" s="200">
        <v>0</v>
      </c>
      <c r="H33" s="86">
        <v>0</v>
      </c>
      <c r="I33" s="210">
        <v>0</v>
      </c>
      <c r="J33" s="200">
        <v>0</v>
      </c>
      <c r="K33" s="83">
        <f>SUM(J33+N33+O33+P33)</f>
        <v>6007.32</v>
      </c>
      <c r="L33" s="140">
        <v>25515</v>
      </c>
      <c r="M33" s="142">
        <v>243000</v>
      </c>
      <c r="N33" s="59">
        <v>3216.32</v>
      </c>
      <c r="O33" s="59">
        <v>2791</v>
      </c>
      <c r="P33" s="59">
        <v>0</v>
      </c>
      <c r="Q33" s="62">
        <v>0</v>
      </c>
      <c r="S33" s="289">
        <f>SUM(N33:Q33)</f>
        <v>6007.32</v>
      </c>
    </row>
    <row r="34" spans="1:23" x14ac:dyDescent="0.2">
      <c r="A34" s="54"/>
      <c r="B34" s="57"/>
      <c r="C34" s="199" t="s">
        <v>99</v>
      </c>
      <c r="D34" s="343">
        <v>5.3</v>
      </c>
      <c r="E34" s="199" t="s">
        <v>100</v>
      </c>
      <c r="F34" s="225">
        <v>45740</v>
      </c>
      <c r="G34" s="200">
        <v>0</v>
      </c>
      <c r="H34" s="86">
        <v>0</v>
      </c>
      <c r="I34" s="210">
        <v>0</v>
      </c>
      <c r="J34" s="200">
        <v>0</v>
      </c>
      <c r="K34" s="83">
        <f>SUM(J34+N34+O34+P34)</f>
        <v>6297.29</v>
      </c>
      <c r="L34" s="140">
        <v>26502.47</v>
      </c>
      <c r="M34" s="142">
        <v>249000</v>
      </c>
      <c r="N34" s="59">
        <v>3331.32</v>
      </c>
      <c r="O34" s="59">
        <v>2965.97</v>
      </c>
      <c r="P34" s="59">
        <v>0</v>
      </c>
      <c r="Q34" s="62">
        <v>0</v>
      </c>
      <c r="S34" s="289">
        <f>SUM(N34:Q34)</f>
        <v>6297.29</v>
      </c>
    </row>
    <row r="35" spans="1:23" x14ac:dyDescent="0.2">
      <c r="A35" s="54"/>
      <c r="B35" s="57"/>
      <c r="C35" s="264" t="s">
        <v>101</v>
      </c>
      <c r="D35" s="344">
        <v>5.15</v>
      </c>
      <c r="E35" s="265" t="s">
        <v>102</v>
      </c>
      <c r="F35" s="266">
        <v>45743</v>
      </c>
      <c r="G35" s="200">
        <v>0</v>
      </c>
      <c r="H35" s="86">
        <v>0</v>
      </c>
      <c r="I35" s="210">
        <v>0</v>
      </c>
      <c r="J35" s="200">
        <v>0</v>
      </c>
      <c r="K35" s="83">
        <f>SUM(J35+N35+O35+P35)</f>
        <v>6073.06</v>
      </c>
      <c r="L35" s="140">
        <v>25063.29</v>
      </c>
      <c r="M35" s="142">
        <v>243000</v>
      </c>
      <c r="N35" s="59">
        <v>3159.28</v>
      </c>
      <c r="O35" s="59">
        <v>2913.78</v>
      </c>
      <c r="P35" s="59">
        <v>0</v>
      </c>
      <c r="Q35" s="62">
        <v>0</v>
      </c>
      <c r="S35" s="289">
        <f>SUM(N35:Q35)</f>
        <v>6073.06</v>
      </c>
    </row>
    <row r="36" spans="1:23" x14ac:dyDescent="0.2">
      <c r="A36" s="54"/>
      <c r="B36" s="57"/>
      <c r="C36" s="199" t="s">
        <v>115</v>
      </c>
      <c r="D36" s="343">
        <v>5.05</v>
      </c>
      <c r="E36" s="199" t="s">
        <v>116</v>
      </c>
      <c r="F36" s="208">
        <v>45852</v>
      </c>
      <c r="G36" s="273">
        <v>0</v>
      </c>
      <c r="H36" s="273">
        <v>0</v>
      </c>
      <c r="I36" s="273">
        <v>0</v>
      </c>
      <c r="J36" s="273">
        <v>1429.77</v>
      </c>
      <c r="K36" s="83">
        <f>SUM(J36+N36+O36+P36)</f>
        <v>10517.939999999999</v>
      </c>
      <c r="L36" s="140">
        <v>24576.62</v>
      </c>
      <c r="M36" s="142">
        <v>243000</v>
      </c>
      <c r="N36" s="59">
        <v>3062.68</v>
      </c>
      <c r="O36" s="58">
        <v>2996.1</v>
      </c>
      <c r="P36" s="131">
        <v>3029.39</v>
      </c>
      <c r="Q36" s="131">
        <v>1429.77</v>
      </c>
      <c r="S36" s="289">
        <f>SUM(N36:Q36)</f>
        <v>10517.94</v>
      </c>
      <c r="W36" s="124"/>
    </row>
    <row r="37" spans="1:23" x14ac:dyDescent="0.2">
      <c r="A37" s="54"/>
      <c r="B37" s="57"/>
      <c r="C37" s="199" t="s">
        <v>89</v>
      </c>
      <c r="D37" s="343">
        <v>4.8570000000000002</v>
      </c>
      <c r="E37" s="209" t="s">
        <v>111</v>
      </c>
      <c r="F37" s="225">
        <v>45884</v>
      </c>
      <c r="G37" s="200">
        <v>0</v>
      </c>
      <c r="H37" s="86">
        <v>0</v>
      </c>
      <c r="I37" s="210">
        <v>0</v>
      </c>
      <c r="J37" s="198">
        <v>5875.4</v>
      </c>
      <c r="K37" s="83">
        <f>SUM(J37+N37+O37+P37)</f>
        <v>41518.28</v>
      </c>
      <c r="L37" s="140">
        <v>95309</v>
      </c>
      <c r="M37" s="142">
        <v>965150.75</v>
      </c>
      <c r="N37" s="59">
        <v>12011.52</v>
      </c>
      <c r="O37" s="59">
        <v>11750.4</v>
      </c>
      <c r="P37" s="130">
        <v>11880.96</v>
      </c>
      <c r="Q37" s="130">
        <v>5875.4</v>
      </c>
      <c r="S37" s="289">
        <f>SUM(N37:Q37)</f>
        <v>41518.28</v>
      </c>
      <c r="W37" s="291"/>
    </row>
    <row r="38" spans="1:23" x14ac:dyDescent="0.2">
      <c r="A38" s="54"/>
      <c r="B38" s="57"/>
      <c r="C38" s="199" t="s">
        <v>129</v>
      </c>
      <c r="D38" s="343">
        <v>4.8499999999999996</v>
      </c>
      <c r="E38" s="209" t="s">
        <v>128</v>
      </c>
      <c r="F38" s="225">
        <v>45890</v>
      </c>
      <c r="G38" s="200">
        <v>0</v>
      </c>
      <c r="H38" s="86">
        <v>0</v>
      </c>
      <c r="I38" s="210">
        <v>0</v>
      </c>
      <c r="J38" s="198">
        <v>1685.94</v>
      </c>
      <c r="K38" s="83">
        <f>SUM(J38+N38+O38+P38)</f>
        <v>10537.119999999999</v>
      </c>
      <c r="L38" s="140">
        <v>17734.79</v>
      </c>
      <c r="M38" s="142">
        <v>244000</v>
      </c>
      <c r="N38" s="150">
        <v>2982.82</v>
      </c>
      <c r="O38" s="59">
        <v>2917.97</v>
      </c>
      <c r="P38" s="130">
        <v>2950.39</v>
      </c>
      <c r="Q38" s="130">
        <v>1685.94</v>
      </c>
      <c r="S38" s="289">
        <f>SUM(N38:Q38)</f>
        <v>10537.12</v>
      </c>
    </row>
    <row r="39" spans="1:23" x14ac:dyDescent="0.2">
      <c r="A39" s="54"/>
      <c r="B39" s="57"/>
      <c r="C39" s="199" t="s">
        <v>138</v>
      </c>
      <c r="D39" s="343">
        <v>5.05</v>
      </c>
      <c r="E39" s="209" t="s">
        <v>112</v>
      </c>
      <c r="F39" s="225">
        <v>45894</v>
      </c>
      <c r="G39" s="200">
        <v>0</v>
      </c>
      <c r="H39" s="86">
        <v>0</v>
      </c>
      <c r="I39" s="210">
        <v>0</v>
      </c>
      <c r="J39" s="198">
        <v>1883.12</v>
      </c>
      <c r="K39" s="83">
        <f>SUM(J39+N39+O39+P39)</f>
        <v>11061.380000000001</v>
      </c>
      <c r="L39" s="140">
        <v>24610.240000000002</v>
      </c>
      <c r="M39" s="142">
        <v>243000</v>
      </c>
      <c r="N39" s="59">
        <v>3093.04</v>
      </c>
      <c r="O39" s="59">
        <v>3025.8</v>
      </c>
      <c r="P39" s="130">
        <v>3059.42</v>
      </c>
      <c r="Q39" s="130">
        <v>1883.12</v>
      </c>
      <c r="S39" s="289">
        <f>SUM(N39:Q39)</f>
        <v>11061.380000000001</v>
      </c>
    </row>
    <row r="40" spans="1:23" x14ac:dyDescent="0.2">
      <c r="A40" s="54"/>
      <c r="B40" s="57"/>
      <c r="C40" s="199" t="s">
        <v>113</v>
      </c>
      <c r="D40" s="343">
        <v>5</v>
      </c>
      <c r="E40" s="274" t="s">
        <v>114</v>
      </c>
      <c r="F40" s="225">
        <v>45894</v>
      </c>
      <c r="G40" s="200">
        <v>0</v>
      </c>
      <c r="H40" s="86">
        <v>0</v>
      </c>
      <c r="I40" s="210">
        <v>0</v>
      </c>
      <c r="J40" s="198">
        <v>1829.25</v>
      </c>
      <c r="K40" s="83">
        <f>SUM(J40+N40+O40+P40)</f>
        <v>10917.42</v>
      </c>
      <c r="L40" s="140">
        <v>24332.29</v>
      </c>
      <c r="M40" s="142">
        <v>243000</v>
      </c>
      <c r="N40" s="59">
        <v>3062.68</v>
      </c>
      <c r="O40" s="59">
        <v>2996.1</v>
      </c>
      <c r="P40" s="130">
        <v>3029.39</v>
      </c>
      <c r="Q40" s="130">
        <v>1829.25</v>
      </c>
      <c r="S40" s="289">
        <f>SUM(N40:Q40)</f>
        <v>10917.42</v>
      </c>
    </row>
    <row r="41" spans="1:23" x14ac:dyDescent="0.2">
      <c r="A41" s="54"/>
      <c r="B41" s="57"/>
      <c r="C41" s="292" t="s">
        <v>186</v>
      </c>
      <c r="D41" s="345">
        <v>4.5</v>
      </c>
      <c r="E41" s="292" t="s">
        <v>154</v>
      </c>
      <c r="F41" s="293">
        <v>46261</v>
      </c>
      <c r="G41" s="200">
        <v>0</v>
      </c>
      <c r="H41" s="200">
        <v>0</v>
      </c>
      <c r="I41" s="86">
        <v>0</v>
      </c>
      <c r="J41" s="200">
        <v>8383.56</v>
      </c>
      <c r="K41" s="83">
        <f>SUM(J41+N41+O41+P41)</f>
        <v>75698.66</v>
      </c>
      <c r="L41" s="140">
        <v>90000</v>
      </c>
      <c r="M41" s="142">
        <v>2000000</v>
      </c>
      <c r="N41" s="59">
        <v>22684.959999999999</v>
      </c>
      <c r="O41" s="150">
        <v>22191.78</v>
      </c>
      <c r="P41" s="62">
        <v>22438.36</v>
      </c>
      <c r="Q41" s="62">
        <v>8383.56</v>
      </c>
      <c r="S41" s="289">
        <f>SUM(N41:Q41)</f>
        <v>75698.66</v>
      </c>
    </row>
    <row r="42" spans="1:23" x14ac:dyDescent="0.2">
      <c r="A42" s="54"/>
      <c r="B42" s="57"/>
      <c r="C42" s="292" t="s">
        <v>185</v>
      </c>
      <c r="D42" s="345">
        <v>4.55</v>
      </c>
      <c r="E42" s="294" t="s">
        <v>170</v>
      </c>
      <c r="F42" s="293">
        <v>46514</v>
      </c>
      <c r="G42" s="200">
        <v>0</v>
      </c>
      <c r="H42" s="200">
        <v>0</v>
      </c>
      <c r="I42" s="86">
        <v>0</v>
      </c>
      <c r="J42" s="200">
        <v>8556.36</v>
      </c>
      <c r="K42" s="83">
        <f>SUM(J42+N42+O42+P42)</f>
        <v>14913.89</v>
      </c>
      <c r="L42" s="140">
        <v>14913.89</v>
      </c>
      <c r="M42" s="142">
        <v>1000000</v>
      </c>
      <c r="N42" s="59">
        <v>0</v>
      </c>
      <c r="O42" s="59">
        <v>0</v>
      </c>
      <c r="P42" s="62">
        <v>6357.53</v>
      </c>
      <c r="Q42" s="62">
        <v>8556.36</v>
      </c>
      <c r="S42" s="289">
        <f>SUM(N42:Q42)</f>
        <v>14913.89</v>
      </c>
    </row>
    <row r="43" spans="1:23" x14ac:dyDescent="0.2">
      <c r="A43" s="54"/>
      <c r="B43" s="57"/>
      <c r="C43" s="239" t="s">
        <v>104</v>
      </c>
      <c r="D43" s="346">
        <v>4.3899999999999997</v>
      </c>
      <c r="E43" s="239" t="s">
        <v>0</v>
      </c>
      <c r="F43" s="268">
        <v>45916</v>
      </c>
      <c r="G43" s="269">
        <v>0</v>
      </c>
      <c r="H43" s="269">
        <v>0</v>
      </c>
      <c r="I43" s="269">
        <v>0</v>
      </c>
      <c r="J43" s="270">
        <v>97159.79</v>
      </c>
      <c r="K43" s="271">
        <f>SUM(J43+N43+O43+P43)</f>
        <v>332585.43999999994</v>
      </c>
      <c r="L43" s="140">
        <v>332585.43</v>
      </c>
      <c r="M43" s="141">
        <v>10689259.4</v>
      </c>
      <c r="N43" s="62">
        <v>9965.11</v>
      </c>
      <c r="O43" s="62">
        <v>112107.45</v>
      </c>
      <c r="P43" s="127">
        <v>113353.09</v>
      </c>
      <c r="Q43" s="127">
        <v>97159.79</v>
      </c>
      <c r="S43" s="289">
        <f>SUM(N43:Q43)</f>
        <v>332585.44</v>
      </c>
      <c r="T43" s="289">
        <v>3325885.43</v>
      </c>
    </row>
    <row r="44" spans="1:23" ht="13.5" thickBot="1" x14ac:dyDescent="0.25">
      <c r="A44" s="54"/>
      <c r="B44" s="57"/>
      <c r="C44" s="52"/>
      <c r="D44" s="347"/>
      <c r="E44" s="33" t="s">
        <v>155</v>
      </c>
      <c r="F44" s="34"/>
      <c r="G44" s="267">
        <f>SUM(G7:G43)</f>
        <v>34640934.090000004</v>
      </c>
      <c r="H44" s="267">
        <f>SUM(H7:H43)</f>
        <v>34630147.090000004</v>
      </c>
      <c r="I44" s="267">
        <f>SUM(I7:I43)</f>
        <v>34630659.489999995</v>
      </c>
      <c r="J44" s="267">
        <f>SUM(J7:J43)</f>
        <v>499231.53000000009</v>
      </c>
      <c r="K44" s="267">
        <f>SUM(K7:K43)</f>
        <v>2197416.7799999993</v>
      </c>
      <c r="L44" s="311"/>
      <c r="M44" s="312"/>
      <c r="N44" s="267">
        <f>SUM(N7:N43)</f>
        <v>421401.21</v>
      </c>
      <c r="O44" s="267">
        <f>SUM(O7:O43)</f>
        <v>672313.92</v>
      </c>
      <c r="P44" s="267">
        <f>SUM(P7:P43)</f>
        <v>604470.12</v>
      </c>
      <c r="Q44" s="267">
        <f>SUM(Q7:Q43)</f>
        <v>499231.53000000009</v>
      </c>
      <c r="R44" s="267">
        <f>SUM(R7:R43)</f>
        <v>0</v>
      </c>
      <c r="S44" s="289">
        <f>SUM(N44:Q44)</f>
        <v>2197416.7800000003</v>
      </c>
    </row>
    <row r="45" spans="1:23" ht="14.25" customHeight="1" x14ac:dyDescent="0.2">
      <c r="A45" s="85"/>
      <c r="B45" s="71"/>
      <c r="D45" s="338"/>
      <c r="L45" s="313"/>
      <c r="M45" s="314"/>
      <c r="Q45" s="59"/>
    </row>
    <row r="46" spans="1:23" ht="14.25" customHeight="1" x14ac:dyDescent="0.2">
      <c r="A46" s="85"/>
      <c r="B46" s="71"/>
      <c r="D46" s="338"/>
      <c r="L46" s="313"/>
      <c r="M46" s="314"/>
    </row>
    <row r="47" spans="1:23" ht="12" customHeight="1" x14ac:dyDescent="0.2">
      <c r="A47" s="20" t="s">
        <v>86</v>
      </c>
      <c r="B47" s="71"/>
      <c r="C47" s="102" t="s">
        <v>76</v>
      </c>
      <c r="D47" s="337">
        <f>SUM(D7)</f>
        <v>3.6025</v>
      </c>
      <c r="E47" s="109"/>
      <c r="F47" s="103">
        <f>SUM(F7)</f>
        <v>45930</v>
      </c>
      <c r="G47" s="104">
        <v>354307.35</v>
      </c>
      <c r="H47" s="104">
        <f>SUM(G47)</f>
        <v>354307.35</v>
      </c>
      <c r="I47" s="104">
        <f>SUM(G47)</f>
        <v>354307.35</v>
      </c>
      <c r="J47" s="107">
        <v>4089.93</v>
      </c>
      <c r="K47" s="105">
        <f>SUM(J47+N47+O47+P47)</f>
        <v>51661.32</v>
      </c>
      <c r="L47" s="140"/>
      <c r="M47" s="142"/>
      <c r="N47" s="59">
        <v>27898.98</v>
      </c>
      <c r="O47" s="59">
        <v>16083.98</v>
      </c>
      <c r="P47" s="62">
        <v>3588.43</v>
      </c>
      <c r="Q47" s="62">
        <v>4089.93</v>
      </c>
      <c r="S47" s="289">
        <f>SUM(N47:Q47)</f>
        <v>51661.32</v>
      </c>
    </row>
    <row r="48" spans="1:23" ht="12" customHeight="1" x14ac:dyDescent="0.2">
      <c r="A48" s="20"/>
      <c r="B48" s="151" t="s">
        <v>0</v>
      </c>
      <c r="C48" s="315" t="s">
        <v>143</v>
      </c>
      <c r="D48" s="348">
        <v>4.25</v>
      </c>
      <c r="E48" s="321"/>
      <c r="F48" s="317">
        <f>SUM(F8)</f>
        <v>45930</v>
      </c>
      <c r="G48" s="318">
        <v>5387380.7999999998</v>
      </c>
      <c r="H48" s="318">
        <f>SUM(G48)</f>
        <v>5387380.7999999998</v>
      </c>
      <c r="I48" s="318">
        <f>SUM(G48)</f>
        <v>5387380.7999999998</v>
      </c>
      <c r="J48" s="319">
        <v>48471.83</v>
      </c>
      <c r="K48" s="320">
        <f>SUM(J48+N48+O48+P48)</f>
        <v>319287.73</v>
      </c>
      <c r="L48" s="140"/>
      <c r="M48" s="142"/>
      <c r="N48" s="65">
        <v>95280.49</v>
      </c>
      <c r="O48" s="65">
        <v>88033.55</v>
      </c>
      <c r="P48" s="62">
        <v>87501.86</v>
      </c>
      <c r="Q48" s="62">
        <v>48471.83</v>
      </c>
      <c r="S48" s="289">
        <f>SUM(N48:Q48)</f>
        <v>319287.73000000004</v>
      </c>
    </row>
    <row r="49" spans="1:19" ht="14.25" customHeight="1" x14ac:dyDescent="0.2">
      <c r="D49" s="338"/>
      <c r="E49" s="26"/>
      <c r="F49" s="25"/>
      <c r="G49" s="58"/>
      <c r="H49" s="3" t="s">
        <v>0</v>
      </c>
      <c r="I49" s="58"/>
      <c r="L49" s="313"/>
      <c r="M49" s="314"/>
      <c r="P49" s="62"/>
      <c r="Q49" s="62"/>
    </row>
    <row r="50" spans="1:19" ht="14.25" customHeight="1" x14ac:dyDescent="0.2">
      <c r="D50" s="338"/>
      <c r="E50" s="26"/>
      <c r="F50" s="25"/>
      <c r="G50" s="58"/>
      <c r="H50" s="3"/>
      <c r="I50" s="58"/>
      <c r="L50" s="313"/>
      <c r="M50" s="314"/>
      <c r="P50" s="62"/>
      <c r="Q50" s="62"/>
    </row>
    <row r="51" spans="1:19" ht="14.25" customHeight="1" x14ac:dyDescent="0.2">
      <c r="A51" s="20" t="s">
        <v>59</v>
      </c>
      <c r="B51" s="71"/>
      <c r="C51" s="102" t="s">
        <v>76</v>
      </c>
      <c r="D51" s="337">
        <f>SUM(D7)</f>
        <v>3.6025</v>
      </c>
      <c r="E51" s="102"/>
      <c r="F51" s="103">
        <f>SUM(F7)</f>
        <v>45930</v>
      </c>
      <c r="G51" s="110">
        <v>5405.72</v>
      </c>
      <c r="H51" s="104">
        <f>SUM(G51)</f>
        <v>5405.72</v>
      </c>
      <c r="I51" s="104">
        <f>SUM(G51)</f>
        <v>5405.72</v>
      </c>
      <c r="J51" s="110">
        <v>35.67</v>
      </c>
      <c r="K51" s="105">
        <f>SUM(J51+N51+O51+P51)</f>
        <v>143.74</v>
      </c>
      <c r="L51" s="140"/>
      <c r="M51" s="142"/>
      <c r="N51" s="60">
        <v>36.08</v>
      </c>
      <c r="O51" s="60">
        <v>36.1</v>
      </c>
      <c r="P51" s="131">
        <v>35.89</v>
      </c>
      <c r="Q51" s="131">
        <v>35.67</v>
      </c>
      <c r="S51" s="289">
        <f>SUM(N51:Q51)</f>
        <v>143.74</v>
      </c>
    </row>
    <row r="52" spans="1:19" ht="14.25" customHeight="1" x14ac:dyDescent="0.2">
      <c r="A52" s="20"/>
      <c r="B52" s="71"/>
      <c r="D52" s="341"/>
      <c r="E52" s="54"/>
      <c r="F52" s="128"/>
      <c r="G52" s="131"/>
      <c r="H52" s="61"/>
      <c r="J52" s="131"/>
      <c r="K52" s="64"/>
      <c r="L52" s="313"/>
      <c r="M52" s="314"/>
      <c r="N52" s="60"/>
      <c r="O52" s="60"/>
      <c r="P52" s="131"/>
      <c r="Q52" s="131"/>
    </row>
    <row r="53" spans="1:19" ht="14.25" customHeight="1" x14ac:dyDescent="0.2">
      <c r="D53" s="338"/>
      <c r="E53" s="26"/>
      <c r="F53" s="25"/>
      <c r="G53" s="58"/>
      <c r="H53" s="3"/>
      <c r="I53" s="58"/>
      <c r="L53" s="313"/>
      <c r="M53" s="314"/>
      <c r="P53" s="62"/>
      <c r="Q53" s="62"/>
    </row>
    <row r="54" spans="1:19" ht="14.25" customHeight="1" x14ac:dyDescent="0.2">
      <c r="A54" s="20" t="s">
        <v>175</v>
      </c>
      <c r="C54" s="102" t="s">
        <v>76</v>
      </c>
      <c r="D54" s="337">
        <f>SUM(D7)</f>
        <v>3.6025</v>
      </c>
      <c r="E54" s="102"/>
      <c r="F54" s="103">
        <f>SUM(F10)</f>
        <v>45930</v>
      </c>
      <c r="G54" s="110">
        <v>6920841.7300000004</v>
      </c>
      <c r="H54" s="104">
        <f>SUM(G54)</f>
        <v>6920841.7300000004</v>
      </c>
      <c r="I54" s="104">
        <f>SUM(G54)</f>
        <v>6920841.7300000004</v>
      </c>
      <c r="J54" s="110">
        <v>66101.710000000006</v>
      </c>
      <c r="K54" s="105">
        <f>SUM(J54+N54+O54+P54)</f>
        <v>77272.600000000006</v>
      </c>
      <c r="L54" s="140"/>
      <c r="M54" s="142"/>
      <c r="N54" s="59">
        <v>0</v>
      </c>
      <c r="O54" s="59">
        <v>0</v>
      </c>
      <c r="P54" s="131">
        <v>11170.89</v>
      </c>
      <c r="Q54" s="131">
        <v>66101.710000000006</v>
      </c>
      <c r="S54" s="289">
        <f>SUM(N54:Q54)</f>
        <v>77272.600000000006</v>
      </c>
    </row>
    <row r="55" spans="1:19" ht="14.25" customHeight="1" x14ac:dyDescent="0.2">
      <c r="A55" s="20" t="s">
        <v>176</v>
      </c>
      <c r="C55" s="315" t="s">
        <v>193</v>
      </c>
      <c r="D55" s="348">
        <v>4.3316999999999997</v>
      </c>
      <c r="E55" s="316"/>
      <c r="F55" s="317">
        <f>SUM(F8)</f>
        <v>45930</v>
      </c>
      <c r="G55" s="318">
        <v>3014303.41</v>
      </c>
      <c r="H55" s="318">
        <f>SUM(G55)</f>
        <v>3014303.41</v>
      </c>
      <c r="I55" s="318">
        <f>SUM(G55)</f>
        <v>3014303.41</v>
      </c>
      <c r="J55" s="319">
        <v>14303.41</v>
      </c>
      <c r="K55" s="320">
        <f>SUM(J55+N55+O55+P55)</f>
        <v>14303.41</v>
      </c>
      <c r="L55" s="140"/>
      <c r="M55" s="142"/>
      <c r="N55" s="59">
        <v>0</v>
      </c>
      <c r="O55" s="59">
        <v>0</v>
      </c>
      <c r="P55" s="276">
        <v>0</v>
      </c>
      <c r="Q55" s="62">
        <v>14303.41</v>
      </c>
      <c r="S55" s="289">
        <f>SUM(N55:Q55)</f>
        <v>14303.41</v>
      </c>
    </row>
    <row r="56" spans="1:19" ht="14.25" customHeight="1" x14ac:dyDescent="0.2">
      <c r="A56" s="20"/>
      <c r="D56" s="338"/>
      <c r="E56" s="26"/>
      <c r="F56" s="25"/>
      <c r="G56" s="58"/>
      <c r="H56" s="3"/>
      <c r="I56" s="58"/>
      <c r="L56" s="313"/>
      <c r="M56" s="314"/>
      <c r="P56" s="62"/>
      <c r="Q56" s="62"/>
    </row>
    <row r="57" spans="1:19" ht="14.25" customHeight="1" x14ac:dyDescent="0.2">
      <c r="D57" s="338"/>
      <c r="E57" s="26"/>
      <c r="F57" s="25"/>
      <c r="G57" s="58"/>
      <c r="H57" s="3"/>
      <c r="I57" s="58"/>
      <c r="L57" s="313"/>
      <c r="M57" s="314"/>
      <c r="P57" s="62"/>
      <c r="Q57" s="62"/>
    </row>
    <row r="58" spans="1:19" ht="14.25" customHeight="1" x14ac:dyDescent="0.2">
      <c r="A58" s="20" t="s">
        <v>6</v>
      </c>
      <c r="B58" s="71"/>
      <c r="C58" s="102" t="s">
        <v>76</v>
      </c>
      <c r="D58" s="337">
        <f>SUM(D7)</f>
        <v>3.6025</v>
      </c>
      <c r="E58" s="102"/>
      <c r="F58" s="103">
        <f>SUM(F7)</f>
        <v>45930</v>
      </c>
      <c r="G58" s="107">
        <v>6384.84</v>
      </c>
      <c r="H58" s="104">
        <f>SUM(G58)</f>
        <v>6384.84</v>
      </c>
      <c r="I58" s="104">
        <f>SUM(G58)</f>
        <v>6384.84</v>
      </c>
      <c r="J58" s="107">
        <v>42.13</v>
      </c>
      <c r="K58" s="105">
        <f>SUM(J58+N58+O58+P58)</f>
        <v>169.77</v>
      </c>
      <c r="L58" s="140"/>
      <c r="M58" s="142"/>
      <c r="N58" s="59">
        <v>42.61</v>
      </c>
      <c r="O58" s="59">
        <v>42.64</v>
      </c>
      <c r="P58" s="62">
        <v>42.39</v>
      </c>
      <c r="Q58" s="62">
        <v>42.13</v>
      </c>
      <c r="S58" s="289">
        <f>SUM(N58:Q58)</f>
        <v>169.77</v>
      </c>
    </row>
    <row r="59" spans="1:19" x14ac:dyDescent="0.2">
      <c r="A59" s="20"/>
      <c r="B59" s="71"/>
      <c r="D59" s="338"/>
      <c r="F59" s="25"/>
      <c r="G59" s="60"/>
      <c r="H59" s="60"/>
      <c r="I59" s="60"/>
      <c r="L59" s="313"/>
      <c r="M59" s="314"/>
      <c r="P59" s="62"/>
      <c r="Q59" s="62"/>
    </row>
    <row r="60" spans="1:19" ht="12" customHeight="1" x14ac:dyDescent="0.2">
      <c r="A60" s="20"/>
      <c r="B60" s="57"/>
      <c r="D60" s="338"/>
      <c r="F60" s="25"/>
      <c r="G60" s="60"/>
      <c r="H60" s="60"/>
      <c r="I60" s="60"/>
      <c r="J60" s="60"/>
      <c r="L60" s="313"/>
      <c r="M60" s="314"/>
      <c r="N60" s="60"/>
      <c r="O60" s="60"/>
      <c r="P60" s="131"/>
      <c r="Q60" s="131"/>
    </row>
    <row r="61" spans="1:19" ht="12" customHeight="1" x14ac:dyDescent="0.2">
      <c r="A61" s="20" t="s">
        <v>80</v>
      </c>
      <c r="B61" s="57"/>
      <c r="C61" s="102" t="s">
        <v>76</v>
      </c>
      <c r="D61" s="337">
        <f>SUM(D7)</f>
        <v>3.6025</v>
      </c>
      <c r="E61" s="102"/>
      <c r="F61" s="103">
        <f>SUM(F7)</f>
        <v>45930</v>
      </c>
      <c r="G61" s="110">
        <v>1761886.85</v>
      </c>
      <c r="H61" s="104">
        <f>SUM(G61)</f>
        <v>1761886.85</v>
      </c>
      <c r="I61" s="104">
        <f>SUM(G61)</f>
        <v>1761886.85</v>
      </c>
      <c r="J61" s="110">
        <v>12188.44</v>
      </c>
      <c r="K61" s="105">
        <f>SUM(J61+N61+O61+P61)</f>
        <v>73675.39</v>
      </c>
      <c r="L61" s="140"/>
      <c r="M61" s="142"/>
      <c r="N61" s="60">
        <v>26867.09</v>
      </c>
      <c r="O61" s="60">
        <v>21239.99</v>
      </c>
      <c r="P61" s="131">
        <v>13379.87</v>
      </c>
      <c r="Q61" s="131">
        <v>12188.44</v>
      </c>
      <c r="S61" s="289">
        <f>SUM(N61:Q61)</f>
        <v>73675.39</v>
      </c>
    </row>
    <row r="62" spans="1:19" ht="12" customHeight="1" x14ac:dyDescent="0.2">
      <c r="A62" s="20"/>
      <c r="B62" s="57"/>
      <c r="D62" s="338"/>
      <c r="F62" s="25"/>
      <c r="G62" s="60"/>
      <c r="H62" s="60"/>
      <c r="I62" s="60"/>
      <c r="J62" s="60"/>
      <c r="L62" s="313"/>
      <c r="M62" s="314"/>
      <c r="N62" s="60"/>
      <c r="O62" s="60"/>
      <c r="P62" s="131"/>
      <c r="Q62" s="131"/>
    </row>
    <row r="63" spans="1:19" ht="12" customHeight="1" x14ac:dyDescent="0.2">
      <c r="A63" s="20"/>
      <c r="B63" s="57"/>
      <c r="D63" s="338"/>
      <c r="F63" s="25"/>
      <c r="G63" s="60"/>
      <c r="H63" s="60"/>
      <c r="I63" s="60"/>
      <c r="J63" s="60"/>
      <c r="L63" s="313"/>
      <c r="M63" s="314"/>
      <c r="N63" s="60"/>
      <c r="O63" s="60"/>
      <c r="P63" s="131"/>
      <c r="Q63" s="131"/>
    </row>
    <row r="64" spans="1:19" x14ac:dyDescent="0.2">
      <c r="A64" s="20" t="s">
        <v>10</v>
      </c>
      <c r="B64" s="49"/>
      <c r="C64" s="102" t="s">
        <v>76</v>
      </c>
      <c r="D64" s="337">
        <f>SUM(D7)</f>
        <v>3.6025</v>
      </c>
      <c r="E64" s="102"/>
      <c r="F64" s="103">
        <f>SUM(F7)</f>
        <v>45930</v>
      </c>
      <c r="G64" s="104">
        <v>81109.98</v>
      </c>
      <c r="H64" s="104">
        <f>SUM(G64)</f>
        <v>81109.98</v>
      </c>
      <c r="I64" s="104">
        <f>SUM(G64)</f>
        <v>81109.98</v>
      </c>
      <c r="J64" s="107">
        <v>534.61</v>
      </c>
      <c r="K64" s="105">
        <f>SUM(J64+N64+O64+P64)</f>
        <v>2137.62</v>
      </c>
      <c r="L64" s="140"/>
      <c r="M64" s="142"/>
      <c r="N64" s="59">
        <v>530.82000000000005</v>
      </c>
      <c r="O64" s="59">
        <v>535.23</v>
      </c>
      <c r="P64" s="62">
        <v>536.96</v>
      </c>
      <c r="Q64" s="62">
        <v>534.61</v>
      </c>
      <c r="S64" s="289">
        <f>SUM(N64:Q64)</f>
        <v>2137.6200000000003</v>
      </c>
    </row>
    <row r="65" spans="1:20" x14ac:dyDescent="0.2">
      <c r="A65" s="20"/>
      <c r="B65" s="49"/>
      <c r="D65" s="341"/>
      <c r="E65" s="54"/>
      <c r="F65" s="128"/>
      <c r="G65" s="61"/>
      <c r="H65" s="61"/>
      <c r="J65" s="62"/>
      <c r="K65" s="64"/>
      <c r="L65" s="313"/>
      <c r="M65" s="314"/>
      <c r="P65" s="62"/>
      <c r="Q65" s="62"/>
    </row>
    <row r="66" spans="1:20" x14ac:dyDescent="0.2">
      <c r="A66" s="20"/>
      <c r="B66" s="49"/>
      <c r="D66" s="341"/>
      <c r="E66" s="54"/>
      <c r="F66" s="128"/>
      <c r="G66" s="61"/>
      <c r="H66" s="61"/>
      <c r="J66" s="62"/>
      <c r="K66" s="64"/>
      <c r="L66" s="313"/>
      <c r="M66" s="314"/>
      <c r="P66" s="62"/>
      <c r="Q66" s="62"/>
    </row>
    <row r="67" spans="1:20" s="54" customFormat="1" x14ac:dyDescent="0.2">
      <c r="A67" s="20" t="s">
        <v>29</v>
      </c>
      <c r="B67" s="57"/>
      <c r="C67" s="102" t="s">
        <v>76</v>
      </c>
      <c r="D67" s="337">
        <f>SUM(D7)</f>
        <v>3.6025</v>
      </c>
      <c r="E67" s="102"/>
      <c r="F67" s="103">
        <f>SUM(F7)</f>
        <v>45930</v>
      </c>
      <c r="G67" s="107">
        <v>213136.03</v>
      </c>
      <c r="H67" s="104">
        <f>SUM(G67)</f>
        <v>213136.03</v>
      </c>
      <c r="I67" s="104">
        <f>SUM(G67)</f>
        <v>213136.03</v>
      </c>
      <c r="J67" s="107">
        <v>1835.76</v>
      </c>
      <c r="K67" s="105">
        <f>SUM(J67+N67+O67+P67)</f>
        <v>13638.15</v>
      </c>
      <c r="L67" s="140"/>
      <c r="M67" s="142"/>
      <c r="N67" s="59">
        <v>2731.13</v>
      </c>
      <c r="O67" s="59">
        <v>5588.28</v>
      </c>
      <c r="P67" s="62">
        <v>3482.98</v>
      </c>
      <c r="Q67" s="62">
        <v>1835.76</v>
      </c>
      <c r="S67" s="289">
        <f>SUM(N67:Q67)</f>
        <v>13638.15</v>
      </c>
      <c r="T67" s="290"/>
    </row>
    <row r="68" spans="1:20" s="54" customFormat="1" x14ac:dyDescent="0.2">
      <c r="A68" s="20"/>
      <c r="B68" s="57"/>
      <c r="D68" s="341"/>
      <c r="F68" s="128"/>
      <c r="G68" s="62"/>
      <c r="H68" s="61"/>
      <c r="I68" s="61"/>
      <c r="J68" s="62"/>
      <c r="K68" s="64"/>
      <c r="L68" s="313"/>
      <c r="M68" s="314"/>
      <c r="N68" s="59"/>
      <c r="O68" s="59"/>
      <c r="P68" s="62"/>
      <c r="Q68" s="62"/>
      <c r="S68" s="290"/>
      <c r="T68" s="290"/>
    </row>
    <row r="69" spans="1:20" x14ac:dyDescent="0.2">
      <c r="A69" s="20"/>
      <c r="B69" s="49"/>
      <c r="D69" s="341"/>
      <c r="E69" s="54"/>
      <c r="F69" s="128"/>
      <c r="G69" s="61"/>
      <c r="H69" s="61"/>
      <c r="J69" s="62"/>
      <c r="K69" s="64"/>
      <c r="L69" s="313"/>
      <c r="M69" s="314"/>
      <c r="N69" s="62"/>
      <c r="P69" s="62"/>
      <c r="Q69" s="62"/>
    </row>
    <row r="70" spans="1:20" x14ac:dyDescent="0.2">
      <c r="A70" s="20" t="s">
        <v>69</v>
      </c>
      <c r="C70" s="102" t="s">
        <v>76</v>
      </c>
      <c r="D70" s="337">
        <f>SUM(D7)</f>
        <v>3.6025</v>
      </c>
      <c r="E70" s="102"/>
      <c r="F70" s="103">
        <f>SUM(F7)</f>
        <v>45930</v>
      </c>
      <c r="G70" s="107">
        <f>75567.29+51298.43</f>
        <v>126865.72</v>
      </c>
      <c r="H70" s="104">
        <f>SUM(G70)</f>
        <v>126865.72</v>
      </c>
      <c r="I70" s="104">
        <f>SUM(G70)</f>
        <v>126865.72</v>
      </c>
      <c r="J70" s="107">
        <f>1875.78+1715.67</f>
        <v>3591.45</v>
      </c>
      <c r="K70" s="105">
        <f>SUM(J70+N70+O70+P70)</f>
        <v>26148.45</v>
      </c>
      <c r="L70" s="140"/>
      <c r="M70" s="142"/>
      <c r="N70" s="59">
        <v>7529.82</v>
      </c>
      <c r="O70" s="59">
        <v>7535.52</v>
      </c>
      <c r="P70" s="62">
        <f>3665.2+3826.46</f>
        <v>7491.66</v>
      </c>
      <c r="Q70" s="62">
        <f>1875.78+1715.67</f>
        <v>3591.45</v>
      </c>
      <c r="S70" s="289">
        <f>SUM(N70:Q70)</f>
        <v>26148.45</v>
      </c>
    </row>
    <row r="71" spans="1:20" x14ac:dyDescent="0.2">
      <c r="A71" s="20"/>
      <c r="C71" s="315" t="s">
        <v>194</v>
      </c>
      <c r="D71" s="348">
        <f>SUM(D14)</f>
        <v>4.3499999999999996</v>
      </c>
      <c r="E71" s="316"/>
      <c r="F71" s="317">
        <f>SUM(F8)</f>
        <v>45930</v>
      </c>
      <c r="G71" s="318">
        <v>1006604.17</v>
      </c>
      <c r="H71" s="318">
        <f>SUM(G71)</f>
        <v>1006604.17</v>
      </c>
      <c r="I71" s="318">
        <f>SUM(G71)</f>
        <v>1006604.17</v>
      </c>
      <c r="J71" s="319">
        <v>6604.17</v>
      </c>
      <c r="K71" s="320">
        <f>SUM(J71+N71+O71+P71)</f>
        <v>6604.17</v>
      </c>
      <c r="L71" s="140"/>
      <c r="M71" s="142"/>
      <c r="N71" s="59">
        <v>0</v>
      </c>
      <c r="O71" s="59">
        <v>0</v>
      </c>
      <c r="P71" s="62">
        <v>0</v>
      </c>
      <c r="Q71" s="62">
        <v>6604.17</v>
      </c>
      <c r="S71" s="289">
        <f>SUM(N71:Q71)</f>
        <v>6604.17</v>
      </c>
    </row>
    <row r="72" spans="1:20" x14ac:dyDescent="0.2">
      <c r="A72" s="20"/>
      <c r="D72" s="341"/>
      <c r="E72" s="54"/>
      <c r="F72" s="128"/>
      <c r="G72" s="62"/>
      <c r="H72" s="61"/>
      <c r="J72" s="62"/>
      <c r="K72" s="64"/>
      <c r="L72" s="313"/>
      <c r="M72" s="314"/>
      <c r="P72" s="62"/>
      <c r="Q72" s="62"/>
    </row>
    <row r="73" spans="1:20" x14ac:dyDescent="0.2">
      <c r="A73" s="75"/>
      <c r="B73" s="76"/>
      <c r="C73" s="77"/>
      <c r="D73" s="338"/>
      <c r="E73" s="78"/>
      <c r="F73" s="25"/>
      <c r="G73" s="79"/>
      <c r="H73" s="79"/>
      <c r="I73" s="79"/>
      <c r="J73" s="80"/>
      <c r="L73" s="313"/>
      <c r="M73" s="314"/>
      <c r="N73" s="80"/>
      <c r="O73" s="80"/>
      <c r="P73" s="152"/>
      <c r="Q73" s="152"/>
    </row>
    <row r="74" spans="1:20" ht="12" customHeight="1" x14ac:dyDescent="0.2">
      <c r="A74" s="20" t="s">
        <v>8</v>
      </c>
      <c r="C74" s="102" t="s">
        <v>76</v>
      </c>
      <c r="D74" s="337">
        <f>SUM(D7)</f>
        <v>3.6025</v>
      </c>
      <c r="E74" s="102"/>
      <c r="F74" s="103">
        <f>SUM(F7)</f>
        <v>45930</v>
      </c>
      <c r="G74" s="104">
        <v>601428.30000000005</v>
      </c>
      <c r="H74" s="104">
        <f>SUM(G74)</f>
        <v>601428.30000000005</v>
      </c>
      <c r="I74" s="104">
        <f>SUM(G74)</f>
        <v>601428.30000000005</v>
      </c>
      <c r="J74" s="107">
        <v>3447.7</v>
      </c>
      <c r="K74" s="105">
        <f>SUM(J74+N74+O74+P74)</f>
        <v>48921.120000000003</v>
      </c>
      <c r="L74" s="140"/>
      <c r="M74" s="142"/>
      <c r="N74" s="59">
        <v>17517.98</v>
      </c>
      <c r="O74" s="59">
        <v>18411.5</v>
      </c>
      <c r="P74" s="62">
        <v>9543.94</v>
      </c>
      <c r="Q74" s="62">
        <v>3447.7</v>
      </c>
      <c r="S74" s="289">
        <f>SUM(N74:Q74)</f>
        <v>48921.119999999995</v>
      </c>
    </row>
    <row r="75" spans="1:20" ht="12" customHeight="1" x14ac:dyDescent="0.2">
      <c r="C75" s="54" t="s">
        <v>88</v>
      </c>
      <c r="D75" s="338">
        <v>4.32</v>
      </c>
      <c r="E75" t="s">
        <v>0</v>
      </c>
      <c r="F75" s="25">
        <f>SUM(F7)</f>
        <v>45930</v>
      </c>
      <c r="G75" s="59">
        <v>1075780.68</v>
      </c>
      <c r="H75" s="58">
        <f>SUM(G75)</f>
        <v>1075780.68</v>
      </c>
      <c r="I75" s="58">
        <f>SUM(G75)</f>
        <v>1075780.68</v>
      </c>
      <c r="J75" s="59">
        <v>1883.55</v>
      </c>
      <c r="K75" s="63">
        <f>SUM(J75+N75+O75+P75)</f>
        <v>2421.63</v>
      </c>
      <c r="L75" s="140"/>
      <c r="M75" s="142"/>
      <c r="N75" s="59">
        <v>432.31</v>
      </c>
      <c r="O75" s="59">
        <v>52.67</v>
      </c>
      <c r="P75" s="62">
        <v>53.1</v>
      </c>
      <c r="Q75" s="62">
        <v>1883.55</v>
      </c>
      <c r="S75" s="289">
        <f>SUM(N75:Q75)</f>
        <v>2421.63</v>
      </c>
    </row>
    <row r="76" spans="1:20" ht="12" customHeight="1" x14ac:dyDescent="0.2">
      <c r="C76" s="322" t="s">
        <v>174</v>
      </c>
      <c r="D76" s="349">
        <v>4.1889000000000003</v>
      </c>
      <c r="E76" s="322"/>
      <c r="F76" s="323">
        <f>SUM(F8)</f>
        <v>45930</v>
      </c>
      <c r="G76" s="324">
        <v>2515605.9900000002</v>
      </c>
      <c r="H76" s="325">
        <f>SUM(G76)</f>
        <v>2515605.9900000002</v>
      </c>
      <c r="I76" s="325">
        <v>2538474.69</v>
      </c>
      <c r="J76" s="326">
        <v>26936.97</v>
      </c>
      <c r="K76" s="327">
        <f>SUM(J76+N76+O76+P76)</f>
        <v>42542.96</v>
      </c>
      <c r="L76" s="140"/>
      <c r="M76" s="141"/>
      <c r="N76" s="59">
        <v>0</v>
      </c>
      <c r="O76" s="59">
        <v>0</v>
      </c>
      <c r="P76" s="130">
        <v>15605.99</v>
      </c>
      <c r="Q76" s="130">
        <v>26936.97</v>
      </c>
      <c r="S76" s="289">
        <f>SUM(N76:Q76)</f>
        <v>42542.96</v>
      </c>
    </row>
    <row r="77" spans="1:20" ht="12" customHeight="1" x14ac:dyDescent="0.2">
      <c r="C77" s="199" t="s">
        <v>104</v>
      </c>
      <c r="D77" s="343">
        <v>5.47</v>
      </c>
      <c r="E77" s="199"/>
      <c r="F77" s="208">
        <v>45646</v>
      </c>
      <c r="G77" s="200">
        <v>0</v>
      </c>
      <c r="H77" s="200">
        <v>0</v>
      </c>
      <c r="I77" s="200">
        <v>0</v>
      </c>
      <c r="J77" s="200"/>
      <c r="K77" s="83">
        <f>SUM(J77+N77+O77+P77)</f>
        <v>13787.4</v>
      </c>
      <c r="L77" s="140">
        <v>35667.4</v>
      </c>
      <c r="M77" s="141">
        <v>1000000</v>
      </c>
      <c r="N77" s="59">
        <v>13787.4</v>
      </c>
      <c r="O77" s="59">
        <v>0</v>
      </c>
      <c r="P77" s="62">
        <v>0</v>
      </c>
      <c r="Q77" s="62"/>
      <c r="S77" s="289">
        <f>SUM(N77:Q77)</f>
        <v>13787.4</v>
      </c>
    </row>
    <row r="78" spans="1:20" ht="12" customHeight="1" x14ac:dyDescent="0.2">
      <c r="C78" s="199" t="s">
        <v>104</v>
      </c>
      <c r="D78" s="343">
        <v>4.3899999999999997</v>
      </c>
      <c r="E78" s="199" t="s">
        <v>0</v>
      </c>
      <c r="F78" s="208">
        <v>45916</v>
      </c>
      <c r="G78" s="200">
        <v>0</v>
      </c>
      <c r="H78" s="200">
        <v>0</v>
      </c>
      <c r="I78" s="200">
        <v>0</v>
      </c>
      <c r="J78" s="198">
        <v>9715.98</v>
      </c>
      <c r="K78" s="83">
        <f>SUM(J78+N78+O78+P78)</f>
        <v>33258.54</v>
      </c>
      <c r="L78" s="140">
        <v>33258.54</v>
      </c>
      <c r="M78" s="142">
        <v>1035667.4</v>
      </c>
      <c r="N78" s="59">
        <v>996.51</v>
      </c>
      <c r="O78" s="59">
        <v>11210.74</v>
      </c>
      <c r="P78" s="130">
        <v>11335.31</v>
      </c>
      <c r="Q78" s="130">
        <v>9715.98</v>
      </c>
      <c r="S78" s="289">
        <f>SUM(N78:Q78)</f>
        <v>33258.539999999994</v>
      </c>
    </row>
    <row r="79" spans="1:20" ht="12" customHeight="1" x14ac:dyDescent="0.2">
      <c r="D79" s="338"/>
      <c r="F79" s="25"/>
      <c r="H79" s="59"/>
      <c r="I79" s="59"/>
      <c r="L79" s="313"/>
      <c r="M79" s="314"/>
      <c r="P79" s="62"/>
      <c r="Q79" s="62"/>
    </row>
    <row r="80" spans="1:20" ht="12" customHeight="1" x14ac:dyDescent="0.2">
      <c r="D80" s="338"/>
      <c r="F80" s="25"/>
      <c r="H80" s="59"/>
      <c r="I80" s="59"/>
      <c r="L80" s="313"/>
      <c r="M80" s="314"/>
      <c r="P80" s="62"/>
      <c r="Q80" s="62"/>
    </row>
    <row r="81" spans="1:20" s="78" customFormat="1" x14ac:dyDescent="0.2">
      <c r="A81" s="20" t="s">
        <v>148</v>
      </c>
      <c r="B81" s="48"/>
      <c r="C81" s="102" t="s">
        <v>76</v>
      </c>
      <c r="D81" s="337">
        <f>SUM(D7)</f>
        <v>3.6025</v>
      </c>
      <c r="E81" s="102"/>
      <c r="F81" s="103">
        <f>SUM(F7)</f>
        <v>45930</v>
      </c>
      <c r="G81" s="104">
        <v>617029.98</v>
      </c>
      <c r="H81" s="104">
        <f>SUM(G81)</f>
        <v>617029.98</v>
      </c>
      <c r="I81" s="104">
        <f>SUM(G81)</f>
        <v>617029.98</v>
      </c>
      <c r="J81" s="111" t="s">
        <v>96</v>
      </c>
      <c r="K81" s="111" t="s">
        <v>96</v>
      </c>
      <c r="L81" s="157"/>
      <c r="M81" s="158"/>
      <c r="N81" s="130" t="s">
        <v>95</v>
      </c>
      <c r="O81" s="130" t="s">
        <v>95</v>
      </c>
      <c r="P81" s="130" t="s">
        <v>95</v>
      </c>
      <c r="Q81" s="130" t="s">
        <v>96</v>
      </c>
      <c r="S81" s="289"/>
      <c r="T81" s="289"/>
    </row>
    <row r="82" spans="1:20" ht="12" customHeight="1" x14ac:dyDescent="0.2">
      <c r="A82" s="20"/>
      <c r="B82" s="57"/>
      <c r="C82" s="315" t="s">
        <v>194</v>
      </c>
      <c r="D82" s="348">
        <f>SUM(D14)</f>
        <v>4.3499999999999996</v>
      </c>
      <c r="E82" s="316"/>
      <c r="F82" s="317">
        <f>SUM(F19)</f>
        <v>46433</v>
      </c>
      <c r="G82" s="318">
        <v>1500000</v>
      </c>
      <c r="H82" s="318">
        <f>SUM(G82)</f>
        <v>1500000</v>
      </c>
      <c r="I82" s="318">
        <f>SUM(G82)</f>
        <v>1500000</v>
      </c>
      <c r="J82" s="328" t="s">
        <v>96</v>
      </c>
      <c r="K82" s="328" t="s">
        <v>96</v>
      </c>
      <c r="L82" s="313"/>
      <c r="M82" s="314"/>
      <c r="N82" s="130" t="s">
        <v>95</v>
      </c>
      <c r="O82" s="130" t="s">
        <v>95</v>
      </c>
      <c r="P82" s="130" t="s">
        <v>95</v>
      </c>
      <c r="Q82" s="130" t="s">
        <v>96</v>
      </c>
    </row>
    <row r="83" spans="1:20" ht="12" customHeight="1" x14ac:dyDescent="0.2">
      <c r="A83" s="20"/>
      <c r="B83" s="57"/>
      <c r="D83" s="338"/>
      <c r="F83" s="25"/>
      <c r="G83" s="60"/>
      <c r="H83" s="60"/>
      <c r="I83" s="60"/>
      <c r="J83" s="60"/>
      <c r="L83" s="313"/>
      <c r="M83" s="314"/>
      <c r="N83" s="60"/>
      <c r="O83" s="60"/>
      <c r="P83" s="131"/>
      <c r="Q83" s="131"/>
    </row>
    <row r="84" spans="1:20" ht="12" customHeight="1" x14ac:dyDescent="0.2">
      <c r="A84" s="20"/>
      <c r="B84" s="57"/>
      <c r="D84" s="338"/>
      <c r="F84" s="25"/>
      <c r="G84" s="60"/>
      <c r="H84" s="60"/>
      <c r="I84" s="60"/>
      <c r="J84" s="60"/>
      <c r="L84" s="313"/>
      <c r="M84" s="314"/>
      <c r="N84" s="60"/>
      <c r="O84" s="60"/>
      <c r="P84" s="131"/>
      <c r="Q84" s="131"/>
    </row>
    <row r="85" spans="1:20" s="20" customFormat="1" ht="14.25" customHeight="1" x14ac:dyDescent="0.2">
      <c r="A85" s="20" t="s">
        <v>9</v>
      </c>
      <c r="B85" s="49"/>
      <c r="C85" s="102" t="s">
        <v>76</v>
      </c>
      <c r="D85" s="337">
        <f>SUM(D7)</f>
        <v>3.6025</v>
      </c>
      <c r="E85" s="102"/>
      <c r="F85" s="103">
        <f>SUM(F7)</f>
        <v>45930</v>
      </c>
      <c r="G85" s="104">
        <v>2109184.52</v>
      </c>
      <c r="H85" s="104">
        <f>SUM(G85)</f>
        <v>2109184.52</v>
      </c>
      <c r="I85" s="104">
        <f>SUM(G85)</f>
        <v>2109184.52</v>
      </c>
      <c r="J85" s="107">
        <v>16303.84</v>
      </c>
      <c r="K85" s="105">
        <f>SUM(J85+N85+O85+P85)</f>
        <v>46169.919999999998</v>
      </c>
      <c r="L85" s="140"/>
      <c r="M85" s="142"/>
      <c r="N85" s="59">
        <v>13627.89</v>
      </c>
      <c r="O85" s="59">
        <v>7333.41</v>
      </c>
      <c r="P85" s="62">
        <v>8904.7800000000007</v>
      </c>
      <c r="Q85" s="62">
        <v>16303.84</v>
      </c>
      <c r="S85" s="289">
        <f>SUM(N85:Q85)</f>
        <v>46169.919999999998</v>
      </c>
      <c r="T85" s="289"/>
    </row>
    <row r="86" spans="1:20" ht="12" customHeight="1" x14ac:dyDescent="0.2">
      <c r="A86" s="20"/>
      <c r="B86" s="57"/>
      <c r="D86" s="338"/>
      <c r="F86" s="25"/>
      <c r="G86" s="60"/>
      <c r="H86" s="60"/>
      <c r="I86" s="60"/>
      <c r="J86" s="60"/>
      <c r="L86" s="313"/>
      <c r="M86" s="314"/>
      <c r="N86" s="60"/>
      <c r="O86" s="60"/>
      <c r="P86" s="131"/>
      <c r="Q86" s="131"/>
    </row>
    <row r="87" spans="1:20" ht="12" customHeight="1" x14ac:dyDescent="0.2">
      <c r="A87" s="20"/>
      <c r="B87" s="57"/>
      <c r="D87" s="338"/>
      <c r="F87" s="25"/>
      <c r="G87" s="150" t="s">
        <v>0</v>
      </c>
      <c r="H87" s="60"/>
      <c r="I87" s="60"/>
      <c r="J87" s="60"/>
      <c r="L87" s="313"/>
      <c r="M87" s="314"/>
      <c r="N87" s="60"/>
      <c r="O87" s="60"/>
      <c r="P87" s="131"/>
      <c r="Q87" s="131"/>
    </row>
    <row r="88" spans="1:20" x14ac:dyDescent="0.2">
      <c r="A88" s="20" t="s">
        <v>28</v>
      </c>
      <c r="C88" s="102" t="s">
        <v>76</v>
      </c>
      <c r="D88" s="337">
        <f>SUM(D7)</f>
        <v>3.6025</v>
      </c>
      <c r="E88" s="102"/>
      <c r="F88" s="103">
        <f>SUM(F7)</f>
        <v>45930</v>
      </c>
      <c r="G88" s="104">
        <v>17440.43</v>
      </c>
      <c r="H88" s="104">
        <f>SUM(G88)</f>
        <v>17440.43</v>
      </c>
      <c r="I88" s="104">
        <f>SUM(G88)</f>
        <v>17440.43</v>
      </c>
      <c r="J88" s="107">
        <v>524.11</v>
      </c>
      <c r="K88" s="105">
        <f>SUM(J88+N88+O88+P88)</f>
        <v>2579.71</v>
      </c>
      <c r="L88" s="140"/>
      <c r="M88" s="142"/>
      <c r="N88" s="59">
        <v>618.23</v>
      </c>
      <c r="O88" s="59">
        <v>424.56</v>
      </c>
      <c r="P88" s="62">
        <v>1012.81</v>
      </c>
      <c r="Q88" s="62">
        <v>524.11</v>
      </c>
      <c r="S88" s="289">
        <f>SUM(N88:Q88)</f>
        <v>2579.71</v>
      </c>
    </row>
    <row r="89" spans="1:20" x14ac:dyDescent="0.2">
      <c r="A89" s="20"/>
      <c r="D89" s="338"/>
      <c r="F89" s="25"/>
      <c r="G89" s="58"/>
      <c r="H89" s="58"/>
      <c r="I89" s="58"/>
      <c r="L89" s="313"/>
      <c r="M89" s="314"/>
      <c r="P89" s="62"/>
      <c r="Q89" s="62"/>
    </row>
    <row r="90" spans="1:20" s="54" customFormat="1" x14ac:dyDescent="0.2">
      <c r="A90" s="20"/>
      <c r="B90" s="57"/>
      <c r="D90" s="338"/>
      <c r="E90"/>
      <c r="F90" s="25"/>
      <c r="G90" s="59"/>
      <c r="H90" s="59"/>
      <c r="I90" s="59"/>
      <c r="J90" s="59"/>
      <c r="K90" s="63"/>
      <c r="L90" s="313"/>
      <c r="M90" s="314"/>
      <c r="N90" s="59"/>
      <c r="O90" s="59"/>
      <c r="P90" s="62"/>
      <c r="Q90" s="62"/>
      <c r="S90" s="290"/>
      <c r="T90" s="290"/>
    </row>
    <row r="91" spans="1:20" x14ac:dyDescent="0.2">
      <c r="A91" s="20" t="s">
        <v>13</v>
      </c>
      <c r="C91" s="102" t="s">
        <v>76</v>
      </c>
      <c r="D91" s="337">
        <f>SUM(D7)</f>
        <v>3.6025</v>
      </c>
      <c r="E91" s="102"/>
      <c r="F91" s="103">
        <f>SUM(F7)</f>
        <v>45930</v>
      </c>
      <c r="G91" s="104">
        <v>2069089.46</v>
      </c>
      <c r="H91" s="104">
        <f>SUM(G91)</f>
        <v>2069089.46</v>
      </c>
      <c r="I91" s="104">
        <f>SUM(G91)</f>
        <v>2069089.46</v>
      </c>
      <c r="J91" s="107">
        <v>16583.009999999998</v>
      </c>
      <c r="K91" s="105">
        <f>SUM(J91+N91+O91+P91)</f>
        <v>80907.87999999999</v>
      </c>
      <c r="L91" s="140"/>
      <c r="M91" s="142"/>
      <c r="N91" s="59">
        <v>18665.439999999999</v>
      </c>
      <c r="O91" s="59">
        <v>26713.73</v>
      </c>
      <c r="P91" s="62">
        <v>18945.7</v>
      </c>
      <c r="Q91" s="62">
        <v>16583.009999999998</v>
      </c>
      <c r="S91" s="289">
        <f>SUM(N91:Q91)</f>
        <v>80907.87999999999</v>
      </c>
    </row>
    <row r="92" spans="1:20" ht="12" customHeight="1" x14ac:dyDescent="0.2">
      <c r="A92" s="20"/>
      <c r="B92" s="57"/>
      <c r="D92" s="338"/>
      <c r="F92" s="25"/>
      <c r="G92" s="60"/>
      <c r="H92" s="60"/>
      <c r="I92" s="60"/>
      <c r="J92" s="60"/>
      <c r="L92" s="313"/>
      <c r="M92" s="314"/>
      <c r="N92" s="60"/>
      <c r="O92" s="60"/>
      <c r="P92" s="131"/>
      <c r="Q92" s="131"/>
    </row>
    <row r="93" spans="1:20" ht="12" customHeight="1" x14ac:dyDescent="0.2">
      <c r="A93" s="20"/>
      <c r="B93" s="57"/>
      <c r="D93" s="338"/>
      <c r="F93" s="25"/>
      <c r="G93" s="60"/>
      <c r="H93" s="60"/>
      <c r="I93" s="60"/>
      <c r="J93" s="60"/>
      <c r="L93" s="313"/>
      <c r="M93" s="314"/>
      <c r="N93" s="60"/>
      <c r="O93" s="60"/>
      <c r="P93" s="131"/>
      <c r="Q93" s="131"/>
    </row>
    <row r="94" spans="1:20" ht="12" customHeight="1" x14ac:dyDescent="0.2">
      <c r="A94" s="20" t="s">
        <v>7</v>
      </c>
      <c r="C94" s="102" t="s">
        <v>76</v>
      </c>
      <c r="D94" s="337">
        <f>SUM(D7)</f>
        <v>3.6025</v>
      </c>
      <c r="E94" s="102"/>
      <c r="F94" s="103">
        <f>SUM(F7)</f>
        <v>45930</v>
      </c>
      <c r="G94" s="107">
        <v>296553.61</v>
      </c>
      <c r="H94" s="104">
        <f>SUM(G94)</f>
        <v>296553.61</v>
      </c>
      <c r="I94" s="104">
        <f>SUM(G94)</f>
        <v>296553.61</v>
      </c>
      <c r="J94" s="107">
        <v>2346.36</v>
      </c>
      <c r="K94" s="105">
        <f>SUM(J94+N94+O94+P94)</f>
        <v>5283.81</v>
      </c>
      <c r="L94" s="140"/>
      <c r="M94" s="142"/>
      <c r="N94" s="59">
        <v>728.11</v>
      </c>
      <c r="O94" s="59">
        <v>517.30999999999995</v>
      </c>
      <c r="P94" s="62">
        <v>1692.03</v>
      </c>
      <c r="Q94" s="62">
        <v>2346.36</v>
      </c>
      <c r="S94" s="289">
        <f>SUM(N94:Q94)</f>
        <v>5283.8099999999995</v>
      </c>
    </row>
    <row r="95" spans="1:20" ht="12" customHeight="1" x14ac:dyDescent="0.2">
      <c r="C95" s="54" t="s">
        <v>88</v>
      </c>
      <c r="D95" s="338">
        <v>4.5</v>
      </c>
      <c r="F95" s="25">
        <f>SUM(F7)</f>
        <v>45930</v>
      </c>
      <c r="G95" s="59">
        <v>1497.14</v>
      </c>
      <c r="H95" s="58">
        <f>SUM(G95)</f>
        <v>1497.14</v>
      </c>
      <c r="I95" s="58">
        <f>SUM(G95)</f>
        <v>1497.14</v>
      </c>
      <c r="J95" s="59">
        <v>1566.55</v>
      </c>
      <c r="K95" s="63">
        <f>SUM(J95+N95+O95+P95)</f>
        <v>2440.9499999999998</v>
      </c>
      <c r="L95" s="140"/>
      <c r="M95" s="142"/>
      <c r="N95" s="59">
        <v>672.16</v>
      </c>
      <c r="O95" s="59">
        <v>100.72</v>
      </c>
      <c r="P95" s="62">
        <v>101.52</v>
      </c>
      <c r="Q95" s="62">
        <v>1566.55</v>
      </c>
      <c r="S95" s="289">
        <f>SUM(N95:Q95)</f>
        <v>2440.9499999999998</v>
      </c>
    </row>
    <row r="96" spans="1:20" ht="12" customHeight="1" x14ac:dyDescent="0.2">
      <c r="C96" s="322" t="s">
        <v>106</v>
      </c>
      <c r="D96" s="349">
        <v>4.6900000000000004</v>
      </c>
      <c r="E96" s="322"/>
      <c r="F96" s="323">
        <f>SUM(F7)</f>
        <v>45930</v>
      </c>
      <c r="G96" s="324">
        <v>1968735.72</v>
      </c>
      <c r="H96" s="325">
        <f>SUM(G96)</f>
        <v>1968735.72</v>
      </c>
      <c r="I96" s="325">
        <f>SUM(G96)</f>
        <v>1968735.72</v>
      </c>
      <c r="J96" s="324">
        <v>5236.07</v>
      </c>
      <c r="K96" s="327">
        <f>SUM(J96+N96+O96+P96)</f>
        <v>18970.45</v>
      </c>
      <c r="L96" s="140"/>
      <c r="M96" s="142"/>
      <c r="N96" s="59">
        <v>5376.42</v>
      </c>
      <c r="O96" s="59">
        <v>4515.33</v>
      </c>
      <c r="P96" s="62">
        <v>3842.63</v>
      </c>
      <c r="Q96" s="62">
        <v>5236.07</v>
      </c>
      <c r="S96" s="289">
        <f>SUM(N96:Q96)</f>
        <v>18970.45</v>
      </c>
    </row>
    <row r="97" spans="1:20" ht="12" customHeight="1" x14ac:dyDescent="0.2">
      <c r="A97" s="54"/>
      <c r="B97" s="57"/>
      <c r="C97" s="264" t="s">
        <v>104</v>
      </c>
      <c r="D97" s="344">
        <v>5.47</v>
      </c>
      <c r="E97" s="264"/>
      <c r="F97" s="288">
        <v>45646</v>
      </c>
      <c r="G97" s="198">
        <v>0</v>
      </c>
      <c r="H97" s="198">
        <v>0</v>
      </c>
      <c r="I97" s="198">
        <v>0</v>
      </c>
      <c r="J97" s="200">
        <v>0</v>
      </c>
      <c r="K97" s="83">
        <f>SUM(J97+N97+O97+P97)</f>
        <v>20681.099999999999</v>
      </c>
      <c r="L97" s="140">
        <v>53501.1</v>
      </c>
      <c r="M97" s="142">
        <v>1500000</v>
      </c>
      <c r="N97" s="59">
        <v>20681.099999999999</v>
      </c>
      <c r="O97" s="59">
        <v>0</v>
      </c>
      <c r="P97" s="62">
        <v>0</v>
      </c>
      <c r="Q97" s="62">
        <v>0</v>
      </c>
      <c r="S97" s="289">
        <f>SUM(N97:Q97)</f>
        <v>20681.099999999999</v>
      </c>
    </row>
    <row r="98" spans="1:20" ht="12" customHeight="1" x14ac:dyDescent="0.2">
      <c r="A98" s="54"/>
      <c r="B98" s="57"/>
      <c r="C98" s="264" t="s">
        <v>104</v>
      </c>
      <c r="D98" s="344">
        <v>4.3899999999999997</v>
      </c>
      <c r="E98" s="264"/>
      <c r="F98" s="288">
        <v>45916</v>
      </c>
      <c r="G98" s="200">
        <v>0</v>
      </c>
      <c r="H98" s="200">
        <v>0</v>
      </c>
      <c r="I98" s="200">
        <v>0</v>
      </c>
      <c r="J98" s="200">
        <v>14573.97</v>
      </c>
      <c r="K98" s="83">
        <f>SUM(J98+N98+O98+P98)</f>
        <v>49887.82</v>
      </c>
      <c r="L98" s="140">
        <v>49887.81</v>
      </c>
      <c r="M98" s="142">
        <v>1553501.1</v>
      </c>
      <c r="N98" s="65">
        <v>1494.77</v>
      </c>
      <c r="O98" s="65">
        <v>16816.12</v>
      </c>
      <c r="P98" s="62">
        <v>17002.96</v>
      </c>
      <c r="Q98" s="62">
        <v>14573.97</v>
      </c>
      <c r="S98" s="289">
        <f>SUM(N98:Q98)</f>
        <v>49887.82</v>
      </c>
      <c r="T98" s="289">
        <v>49887.81</v>
      </c>
    </row>
    <row r="99" spans="1:20" ht="12" customHeight="1" x14ac:dyDescent="0.2">
      <c r="A99" s="54"/>
      <c r="B99" s="57"/>
      <c r="C99" s="272"/>
      <c r="D99" s="342"/>
      <c r="E99" s="272"/>
      <c r="F99" s="275"/>
      <c r="G99" s="62"/>
      <c r="I99" s="62"/>
      <c r="J99" s="62"/>
      <c r="K99" s="64"/>
      <c r="L99" s="143"/>
      <c r="M99" s="143"/>
      <c r="N99" s="130"/>
      <c r="O99" s="65"/>
      <c r="P99" s="62"/>
      <c r="Q99" s="62"/>
    </row>
    <row r="100" spans="1:20" ht="12" customHeight="1" x14ac:dyDescent="0.2">
      <c r="A100" s="54"/>
      <c r="B100" s="57"/>
      <c r="C100" s="272"/>
      <c r="D100" s="342"/>
      <c r="E100" s="272"/>
      <c r="F100" s="275"/>
      <c r="G100" s="62"/>
      <c r="I100" s="62"/>
      <c r="J100" s="62"/>
      <c r="K100" s="64"/>
      <c r="L100" s="143"/>
      <c r="M100" s="143"/>
      <c r="N100" s="130"/>
      <c r="O100" s="65"/>
      <c r="P100" s="62"/>
      <c r="Q100" s="62"/>
    </row>
    <row r="101" spans="1:20" ht="12" customHeight="1" x14ac:dyDescent="0.2">
      <c r="A101" s="54"/>
      <c r="B101" s="57"/>
      <c r="C101" s="272"/>
      <c r="D101" s="342"/>
      <c r="E101" s="272"/>
      <c r="F101" s="275"/>
      <c r="G101" s="62"/>
      <c r="I101" s="62"/>
      <c r="J101" s="62"/>
      <c r="K101" s="64"/>
      <c r="L101" s="143"/>
      <c r="M101" s="143"/>
      <c r="N101" s="130"/>
      <c r="O101" s="65"/>
      <c r="P101" s="62"/>
      <c r="Q101" s="62"/>
    </row>
    <row r="102" spans="1:20" ht="12" customHeight="1" x14ac:dyDescent="0.2">
      <c r="A102" s="54"/>
      <c r="B102" s="57"/>
      <c r="C102" s="272"/>
      <c r="D102" s="342"/>
      <c r="E102" s="272"/>
      <c r="F102" s="275"/>
      <c r="G102" s="62"/>
      <c r="I102" s="62"/>
      <c r="J102" s="62"/>
      <c r="K102" s="64"/>
      <c r="L102" s="143"/>
      <c r="M102" s="143"/>
      <c r="N102" s="130"/>
      <c r="O102" s="65"/>
      <c r="P102" s="62"/>
      <c r="Q102" s="62"/>
    </row>
    <row r="103" spans="1:20" s="20" customFormat="1" ht="11.25" customHeight="1" x14ac:dyDescent="0.2">
      <c r="A103" s="20" t="s">
        <v>14</v>
      </c>
      <c r="B103" s="48"/>
      <c r="C103" s="52" t="s">
        <v>81</v>
      </c>
      <c r="D103" s="260"/>
      <c r="F103" s="201" t="s">
        <v>151</v>
      </c>
      <c r="G103" s="81">
        <f>SUM(G104:G154)</f>
        <v>38027396.089999996</v>
      </c>
      <c r="H103" s="81">
        <f>SUM(H104:H154)</f>
        <v>38027396.089999996</v>
      </c>
      <c r="I103" s="81">
        <f>SUM(I104:I154)</f>
        <v>38027396.089999996</v>
      </c>
      <c r="J103" s="81">
        <f>SUM(J104:J154)</f>
        <v>180570.17</v>
      </c>
      <c r="K103" s="81">
        <f>SUM(K104:K154)</f>
        <v>470446.19</v>
      </c>
      <c r="L103" s="156"/>
      <c r="M103" s="156"/>
      <c r="N103" s="82"/>
      <c r="O103" s="82"/>
      <c r="P103" s="82"/>
      <c r="Q103" s="82"/>
      <c r="S103" s="289"/>
      <c r="T103" s="289"/>
    </row>
    <row r="104" spans="1:20" s="20" customFormat="1" ht="11.25" customHeight="1" x14ac:dyDescent="0.2">
      <c r="A104" s="307"/>
      <c r="B104" s="302"/>
      <c r="C104" s="297" t="s">
        <v>149</v>
      </c>
      <c r="D104" s="350">
        <f>SUM(D7)</f>
        <v>3.6025</v>
      </c>
      <c r="E104" s="298"/>
      <c r="F104" s="329">
        <f>SUM(F7)</f>
        <v>45930</v>
      </c>
      <c r="G104" s="299">
        <v>2846800.37</v>
      </c>
      <c r="H104" s="301">
        <f>SUM(G104)</f>
        <v>2846800.37</v>
      </c>
      <c r="I104" s="301">
        <f t="shared" ref="I104" si="2">SUM(G104)</f>
        <v>2846800.37</v>
      </c>
      <c r="J104" s="299">
        <f>6875.21+6387.45+7628.98</f>
        <v>20891.64</v>
      </c>
      <c r="K104" s="330">
        <f>SUM(J104+N104+O104+P104)</f>
        <v>57864.009999999995</v>
      </c>
      <c r="L104" s="331"/>
      <c r="M104" s="331"/>
      <c r="N104" s="28">
        <v>15640.24</v>
      </c>
      <c r="O104" s="28">
        <v>15861.68</v>
      </c>
      <c r="P104" s="153">
        <v>5470.45</v>
      </c>
      <c r="Q104" s="153">
        <f>6875.21+6387.45+7628.98</f>
        <v>20891.64</v>
      </c>
      <c r="S104" s="289">
        <f>SUM(N104:Q104)</f>
        <v>57864.009999999995</v>
      </c>
      <c r="T104" s="289"/>
    </row>
    <row r="105" spans="1:20" s="20" customFormat="1" ht="11.25" customHeight="1" x14ac:dyDescent="0.2">
      <c r="A105" s="68" t="s">
        <v>30</v>
      </c>
      <c r="B105" s="205"/>
      <c r="C105" s="67" t="s">
        <v>220</v>
      </c>
      <c r="D105" s="341">
        <v>3.6025</v>
      </c>
      <c r="E105" s="69"/>
      <c r="F105" s="332">
        <f>SUM(F7)</f>
        <v>45930</v>
      </c>
      <c r="G105" s="153">
        <v>174863.18</v>
      </c>
      <c r="H105" s="84">
        <f>SUM(G105)</f>
        <v>174863.18</v>
      </c>
      <c r="I105" s="84">
        <f>SUM(G105)</f>
        <v>174863.18</v>
      </c>
      <c r="J105" s="153">
        <v>1152.82</v>
      </c>
      <c r="K105" s="333">
        <f>SUM(J105+N105+O105+P105)</f>
        <v>4393.0600000000004</v>
      </c>
      <c r="L105" s="334"/>
      <c r="M105" s="334"/>
      <c r="N105" s="153">
        <v>972.69</v>
      </c>
      <c r="O105" s="153">
        <v>1128.81</v>
      </c>
      <c r="P105" s="153">
        <v>1138.74</v>
      </c>
      <c r="Q105" s="153">
        <v>1152.82</v>
      </c>
      <c r="S105" s="289">
        <f>SUM(N105:Q105)</f>
        <v>4393.0599999999995</v>
      </c>
      <c r="T105" s="289"/>
    </row>
    <row r="106" spans="1:20" s="20" customFormat="1" ht="11.25" customHeight="1" x14ac:dyDescent="0.2">
      <c r="A106" s="307"/>
      <c r="B106" s="302"/>
      <c r="C106" s="297" t="s">
        <v>68</v>
      </c>
      <c r="D106" s="350">
        <v>3.6025</v>
      </c>
      <c r="E106" s="300"/>
      <c r="F106" s="329">
        <f>SUM(F7)</f>
        <v>45930</v>
      </c>
      <c r="G106" s="301">
        <v>471328.7</v>
      </c>
      <c r="H106" s="301">
        <f>SUM(G106)</f>
        <v>471328.7</v>
      </c>
      <c r="I106" s="301">
        <f>SUM(G106)</f>
        <v>471328.7</v>
      </c>
      <c r="J106" s="299">
        <v>3137.95</v>
      </c>
      <c r="K106" s="335">
        <f>SUM(J106+N106+O106+P106)</f>
        <v>12481.839999999998</v>
      </c>
      <c r="L106" s="334"/>
      <c r="M106" s="334"/>
      <c r="N106" s="153">
        <v>2966.49</v>
      </c>
      <c r="O106" s="153">
        <v>3209.25</v>
      </c>
      <c r="P106" s="153">
        <v>3168.15</v>
      </c>
      <c r="Q106" s="153">
        <v>3137.95</v>
      </c>
      <c r="S106" s="289">
        <f>SUM(N106:Q106)</f>
        <v>12481.84</v>
      </c>
      <c r="T106" s="289"/>
    </row>
    <row r="107" spans="1:20" s="20" customFormat="1" ht="11.25" customHeight="1" x14ac:dyDescent="0.2">
      <c r="A107" s="24"/>
      <c r="B107" s="205"/>
      <c r="C107" s="67" t="s">
        <v>221</v>
      </c>
      <c r="D107" s="341">
        <v>3.6025</v>
      </c>
      <c r="E107" s="69"/>
      <c r="F107" s="332">
        <f>SUM(F7)</f>
        <v>45930</v>
      </c>
      <c r="G107" s="84">
        <v>158184.49</v>
      </c>
      <c r="H107" s="84">
        <f>SUM(G107)</f>
        <v>158184.49</v>
      </c>
      <c r="I107" s="84">
        <f>SUM(G107)</f>
        <v>158184.49</v>
      </c>
      <c r="J107" s="153">
        <v>1043.69</v>
      </c>
      <c r="K107" s="333">
        <f>SUM(J107+N107+O107+P107)</f>
        <v>7495.7999999999993</v>
      </c>
      <c r="L107" s="334"/>
      <c r="M107" s="334"/>
      <c r="N107" s="153">
        <v>3395.97</v>
      </c>
      <c r="O107" s="153">
        <v>1643.37</v>
      </c>
      <c r="P107" s="153">
        <v>1412.77</v>
      </c>
      <c r="Q107" s="153">
        <v>1043.69</v>
      </c>
      <c r="S107" s="289">
        <f>SUM(N107:Q107)</f>
        <v>7495.8000000000011</v>
      </c>
      <c r="T107" s="289"/>
    </row>
    <row r="108" spans="1:20" s="20" customFormat="1" ht="11.25" customHeight="1" x14ac:dyDescent="0.2">
      <c r="A108" s="308"/>
      <c r="B108" s="302"/>
      <c r="C108" s="297" t="s">
        <v>227</v>
      </c>
      <c r="D108" s="350">
        <v>3.6025</v>
      </c>
      <c r="E108" s="300"/>
      <c r="F108" s="329">
        <f>SUM(F7)</f>
        <v>45930</v>
      </c>
      <c r="G108" s="301">
        <v>377540.84</v>
      </c>
      <c r="H108" s="301">
        <f>SUM(G108)</f>
        <v>377540.84</v>
      </c>
      <c r="I108" s="301">
        <f>SUM(G108)</f>
        <v>377540.84</v>
      </c>
      <c r="J108" s="299">
        <v>2023.91</v>
      </c>
      <c r="K108" s="335">
        <f>SUM(J108+N108+O108+P108)</f>
        <v>7729.58</v>
      </c>
      <c r="L108" s="334"/>
      <c r="M108" s="334"/>
      <c r="N108" s="153">
        <v>1955.45</v>
      </c>
      <c r="O108" s="153">
        <v>1960.39</v>
      </c>
      <c r="P108" s="153">
        <v>1789.83</v>
      </c>
      <c r="Q108" s="153">
        <v>2023.91</v>
      </c>
      <c r="S108" s="289">
        <f>SUM(N108:Q108)</f>
        <v>7729.58</v>
      </c>
      <c r="T108" s="289"/>
    </row>
    <row r="109" spans="1:20" s="20" customFormat="1" ht="11.25" customHeight="1" x14ac:dyDescent="0.2">
      <c r="A109" s="36"/>
      <c r="B109" s="205"/>
      <c r="C109" s="67" t="s">
        <v>83</v>
      </c>
      <c r="D109" s="341">
        <v>3.6025</v>
      </c>
      <c r="E109" s="69"/>
      <c r="F109" s="332">
        <f>SUM(F7)</f>
        <v>45930</v>
      </c>
      <c r="G109" s="84">
        <v>64499.41</v>
      </c>
      <c r="H109" s="84">
        <f>SUM(G109)</f>
        <v>64499.41</v>
      </c>
      <c r="I109" s="84">
        <f>SUM(G109)</f>
        <v>64499.41</v>
      </c>
      <c r="J109" s="153">
        <v>430.63</v>
      </c>
      <c r="K109" s="333">
        <f>SUM(J109+N109+O109+P109)</f>
        <v>1994.6399999999999</v>
      </c>
      <c r="L109" s="334"/>
      <c r="M109" s="334"/>
      <c r="N109" s="153">
        <v>522.15</v>
      </c>
      <c r="O109" s="153">
        <v>522.47</v>
      </c>
      <c r="P109" s="153">
        <v>519.39</v>
      </c>
      <c r="Q109" s="153">
        <v>430.63</v>
      </c>
      <c r="S109" s="289">
        <f>SUM(N109:Q109)</f>
        <v>1994.6399999999999</v>
      </c>
      <c r="T109" s="289"/>
    </row>
    <row r="110" spans="1:20" s="20" customFormat="1" ht="11.25" customHeight="1" x14ac:dyDescent="0.2">
      <c r="A110" s="307"/>
      <c r="B110" s="302"/>
      <c r="C110" s="297" t="s">
        <v>222</v>
      </c>
      <c r="D110" s="350">
        <v>3.6025</v>
      </c>
      <c r="E110" s="300"/>
      <c r="F110" s="329">
        <f>SUM(F7)</f>
        <v>45930</v>
      </c>
      <c r="G110" s="301">
        <v>356303.49</v>
      </c>
      <c r="H110" s="301">
        <f>SUM(G110)</f>
        <v>356303.49</v>
      </c>
      <c r="I110" s="301">
        <f>SUM(G110)</f>
        <v>356303.49</v>
      </c>
      <c r="J110" s="299">
        <v>2383.6999999999998</v>
      </c>
      <c r="K110" s="335">
        <f>SUM(J110+N110+O110+P110)</f>
        <v>8088.91</v>
      </c>
      <c r="L110" s="334"/>
      <c r="M110" s="334"/>
      <c r="N110" s="153">
        <v>2094.64</v>
      </c>
      <c r="O110" s="153">
        <v>1848.21</v>
      </c>
      <c r="P110" s="153">
        <v>1762.36</v>
      </c>
      <c r="Q110" s="153">
        <v>2383.6999999999998</v>
      </c>
      <c r="S110" s="289">
        <f>SUM(N110:Q110)</f>
        <v>8088.91</v>
      </c>
      <c r="T110" s="289"/>
    </row>
    <row r="111" spans="1:20" s="20" customFormat="1" ht="11.25" customHeight="1" x14ac:dyDescent="0.2">
      <c r="A111" s="36"/>
      <c r="B111" s="205"/>
      <c r="C111" s="67" t="s">
        <v>94</v>
      </c>
      <c r="D111" s="341">
        <v>3.6025</v>
      </c>
      <c r="E111" s="69"/>
      <c r="F111" s="332">
        <f>SUM(F7)</f>
        <v>45930</v>
      </c>
      <c r="G111" s="84">
        <v>83878.64</v>
      </c>
      <c r="H111" s="84">
        <f>SUM(G111)</f>
        <v>83878.64</v>
      </c>
      <c r="I111" s="84">
        <f>SUM(G111)</f>
        <v>83878.64</v>
      </c>
      <c r="J111" s="153">
        <v>459.54</v>
      </c>
      <c r="K111" s="333">
        <f>SUM(J111+N111+O111+P111)</f>
        <v>3671.1800000000003</v>
      </c>
      <c r="L111" s="334"/>
      <c r="M111" s="334"/>
      <c r="N111" s="153">
        <v>915.62</v>
      </c>
      <c r="O111" s="153">
        <v>1128.53</v>
      </c>
      <c r="P111" s="153">
        <v>1167.49</v>
      </c>
      <c r="Q111" s="153">
        <v>459.54</v>
      </c>
      <c r="S111" s="289">
        <f>SUM(N111:Q111)</f>
        <v>3671.1800000000003</v>
      </c>
      <c r="T111" s="289"/>
    </row>
    <row r="112" spans="1:20" s="20" customFormat="1" ht="11.25" customHeight="1" x14ac:dyDescent="0.2">
      <c r="A112" s="307"/>
      <c r="B112" s="302"/>
      <c r="C112" s="297" t="s">
        <v>223</v>
      </c>
      <c r="D112" s="350">
        <v>3.6025</v>
      </c>
      <c r="E112" s="300"/>
      <c r="F112" s="329">
        <f>SUM(F7)</f>
        <v>45930</v>
      </c>
      <c r="G112" s="301">
        <v>469.62</v>
      </c>
      <c r="H112" s="301">
        <f>SUM(G112)</f>
        <v>469.62</v>
      </c>
      <c r="I112" s="301">
        <f>SUM(G112)</f>
        <v>469.62</v>
      </c>
      <c r="J112" s="299">
        <v>2.9</v>
      </c>
      <c r="K112" s="335">
        <f>SUM(J112+N112+O112+P112)</f>
        <v>14.57</v>
      </c>
      <c r="L112" s="334"/>
      <c r="M112" s="334"/>
      <c r="N112" s="153">
        <v>5.08</v>
      </c>
      <c r="O112" s="153">
        <v>4.1399999999999997</v>
      </c>
      <c r="P112" s="153">
        <v>2.4500000000000002</v>
      </c>
      <c r="Q112" s="153">
        <v>2.9</v>
      </c>
      <c r="S112" s="289">
        <f>SUM(N112:Q112)</f>
        <v>14.569999999999999</v>
      </c>
      <c r="T112" s="289"/>
    </row>
    <row r="113" spans="1:20" s="20" customFormat="1" ht="11.25" customHeight="1" x14ac:dyDescent="0.2">
      <c r="A113" s="36"/>
      <c r="B113" s="205"/>
      <c r="C113" s="67" t="s">
        <v>224</v>
      </c>
      <c r="D113" s="341">
        <v>3.6025</v>
      </c>
      <c r="E113" s="69"/>
      <c r="F113" s="332">
        <f>SUM(F7)</f>
        <v>45930</v>
      </c>
      <c r="G113" s="84">
        <f>3888.43+5998.09+562305.93</f>
        <v>572192.45000000007</v>
      </c>
      <c r="H113" s="84">
        <f>SUM(G113)</f>
        <v>572192.45000000007</v>
      </c>
      <c r="I113" s="84">
        <f>SUM(G113)</f>
        <v>572192.45000000007</v>
      </c>
      <c r="J113" s="153">
        <f>957.22+3835.75+65.57</f>
        <v>4858.54</v>
      </c>
      <c r="K113" s="333">
        <f>SUM(J113+N113+O113+P113)</f>
        <v>24126.46</v>
      </c>
      <c r="L113" s="334"/>
      <c r="M113" s="334"/>
      <c r="N113" s="153">
        <v>6801.93</v>
      </c>
      <c r="O113" s="153">
        <v>6938.61</v>
      </c>
      <c r="P113" s="153">
        <f>1469.15+3951.24+106.99</f>
        <v>5527.3799999999992</v>
      </c>
      <c r="Q113" s="153">
        <f>957.22+3835.75+65.57</f>
        <v>4858.54</v>
      </c>
      <c r="S113" s="289">
        <f>SUM(N113:Q113)</f>
        <v>24126.46</v>
      </c>
      <c r="T113" s="289"/>
    </row>
    <row r="114" spans="1:20" s="20" customFormat="1" ht="11.25" customHeight="1" x14ac:dyDescent="0.2">
      <c r="A114" s="307"/>
      <c r="B114" s="302"/>
      <c r="C114" s="297" t="s">
        <v>225</v>
      </c>
      <c r="D114" s="350">
        <v>3.6025</v>
      </c>
      <c r="E114" s="300"/>
      <c r="F114" s="329">
        <f>SUM(F7)</f>
        <v>45930</v>
      </c>
      <c r="G114" s="299">
        <v>211640.71</v>
      </c>
      <c r="H114" s="301">
        <f>SUM(G114)</f>
        <v>211640.71</v>
      </c>
      <c r="I114" s="301">
        <f>SUM(G114)</f>
        <v>211640.71</v>
      </c>
      <c r="J114" s="299">
        <v>1396.37</v>
      </c>
      <c r="K114" s="335">
        <f>SUM(J114+N114+O114+P114)</f>
        <v>5921.86</v>
      </c>
      <c r="L114" s="334"/>
      <c r="M114" s="334"/>
      <c r="N114" s="153">
        <v>1561.51</v>
      </c>
      <c r="O114" s="153">
        <v>1554.16</v>
      </c>
      <c r="P114" s="153">
        <v>1409.82</v>
      </c>
      <c r="Q114" s="153">
        <v>1396.37</v>
      </c>
      <c r="S114" s="289">
        <f>SUM(N114:Q114)</f>
        <v>5921.86</v>
      </c>
      <c r="T114" s="289"/>
    </row>
    <row r="115" spans="1:20" s="20" customFormat="1" ht="11.25" customHeight="1" x14ac:dyDescent="0.2">
      <c r="A115" s="36"/>
      <c r="B115" s="205"/>
      <c r="C115" s="283" t="s">
        <v>238</v>
      </c>
      <c r="D115" s="342">
        <v>3.6025</v>
      </c>
      <c r="E115" s="284"/>
      <c r="F115" s="332">
        <f>SUM(F7)</f>
        <v>45930</v>
      </c>
      <c r="G115" s="84">
        <v>8363353.1200000001</v>
      </c>
      <c r="H115" s="84">
        <f>SUM(G115)</f>
        <v>8363353.1200000001</v>
      </c>
      <c r="I115" s="84">
        <f>SUM(G115)</f>
        <v>8363353.1200000001</v>
      </c>
      <c r="J115" s="153">
        <v>63412.28</v>
      </c>
      <c r="K115" s="333">
        <f>SUM(J115+N115+O115+P115)</f>
        <v>214296.11</v>
      </c>
      <c r="L115" s="334"/>
      <c r="M115" s="334"/>
      <c r="N115" s="153">
        <v>23031.56</v>
      </c>
      <c r="O115" s="153">
        <v>51964.01</v>
      </c>
      <c r="P115" s="153">
        <v>75888.259999999995</v>
      </c>
      <c r="Q115" s="153">
        <v>63412.28</v>
      </c>
      <c r="S115" s="289">
        <f>SUM(N115:Q115)</f>
        <v>214296.11000000002</v>
      </c>
      <c r="T115" s="289"/>
    </row>
    <row r="116" spans="1:20" s="20" customFormat="1" ht="11.25" customHeight="1" x14ac:dyDescent="0.2">
      <c r="A116" s="307"/>
      <c r="B116" s="302"/>
      <c r="C116" s="303" t="s">
        <v>239</v>
      </c>
      <c r="D116" s="351">
        <f>SUM(D13)</f>
        <v>4.3495999999999997</v>
      </c>
      <c r="E116" s="304"/>
      <c r="F116" s="329">
        <f>SUM(F7)</f>
        <v>45930</v>
      </c>
      <c r="G116" s="301">
        <v>15066382.039999999</v>
      </c>
      <c r="H116" s="301">
        <f>SUM(G116)</f>
        <v>15066382.039999999</v>
      </c>
      <c r="I116" s="301">
        <f>SUM(G116)</f>
        <v>15066382.039999999</v>
      </c>
      <c r="J116" s="299">
        <v>66382.039999999994</v>
      </c>
      <c r="K116" s="335">
        <f>SUM(J116+N116+O116+P116)</f>
        <v>66382.039999999994</v>
      </c>
      <c r="L116" s="334"/>
      <c r="M116" s="334"/>
      <c r="N116" s="153">
        <v>0</v>
      </c>
      <c r="O116" s="153">
        <v>0</v>
      </c>
      <c r="P116" s="153">
        <v>0</v>
      </c>
      <c r="Q116" s="153">
        <v>66382.039999999994</v>
      </c>
      <c r="S116" s="289">
        <f>SUM(N116:Q116)</f>
        <v>66382.039999999994</v>
      </c>
      <c r="T116" s="289"/>
    </row>
    <row r="117" spans="1:20" s="20" customFormat="1" ht="11.25" customHeight="1" x14ac:dyDescent="0.2">
      <c r="A117" s="36"/>
      <c r="B117" s="205"/>
      <c r="C117" s="67" t="s">
        <v>226</v>
      </c>
      <c r="D117" s="341">
        <v>3.6025</v>
      </c>
      <c r="E117" s="69"/>
      <c r="F117" s="332">
        <f>SUM(F7)</f>
        <v>45930</v>
      </c>
      <c r="G117" s="84">
        <v>341926.84</v>
      </c>
      <c r="H117" s="84">
        <f>SUM(G117)</f>
        <v>341926.84</v>
      </c>
      <c r="I117" s="84">
        <f>SUM(G117)</f>
        <v>341926.84</v>
      </c>
      <c r="J117" s="153">
        <v>2269.73</v>
      </c>
      <c r="K117" s="333">
        <f>SUM(J117+N117+O117+P117)</f>
        <v>8073.3099999999995</v>
      </c>
      <c r="L117" s="334"/>
      <c r="M117" s="334"/>
      <c r="N117" s="153">
        <v>1223.3</v>
      </c>
      <c r="O117" s="153">
        <v>2308.7600000000002</v>
      </c>
      <c r="P117" s="153">
        <v>2271.52</v>
      </c>
      <c r="Q117" s="153">
        <v>2269.73</v>
      </c>
      <c r="S117" s="289">
        <f>SUM(N117:Q117)</f>
        <v>8073.3099999999995</v>
      </c>
      <c r="T117" s="289"/>
    </row>
    <row r="118" spans="1:20" s="20" customFormat="1" ht="11.25" customHeight="1" x14ac:dyDescent="0.2">
      <c r="A118" s="307"/>
      <c r="B118" s="302"/>
      <c r="C118" s="303" t="s">
        <v>31</v>
      </c>
      <c r="D118" s="351">
        <v>3.6025</v>
      </c>
      <c r="E118" s="304"/>
      <c r="F118" s="329">
        <f>SUM(F7)</f>
        <v>45930</v>
      </c>
      <c r="G118" s="301">
        <v>42293.52</v>
      </c>
      <c r="H118" s="301">
        <f>SUM(G118)</f>
        <v>42293.52</v>
      </c>
      <c r="I118" s="301">
        <f>SUM(G118)</f>
        <v>42293.52</v>
      </c>
      <c r="J118" s="299">
        <v>279.05</v>
      </c>
      <c r="K118" s="335">
        <f>SUM(J118+N118+O118+P118)</f>
        <v>1124.5</v>
      </c>
      <c r="L118" s="334"/>
      <c r="M118" s="334"/>
      <c r="N118" s="153">
        <v>282.26</v>
      </c>
      <c r="O118" s="153">
        <v>282.43</v>
      </c>
      <c r="P118" s="153">
        <v>280.76</v>
      </c>
      <c r="Q118" s="153">
        <v>279.05</v>
      </c>
      <c r="S118" s="289">
        <f>SUM(N118:Q118)</f>
        <v>1124.5</v>
      </c>
      <c r="T118" s="289"/>
    </row>
    <row r="119" spans="1:20" s="20" customFormat="1" ht="11.25" customHeight="1" x14ac:dyDescent="0.2">
      <c r="A119" s="36"/>
      <c r="B119" s="205"/>
      <c r="C119" s="67" t="s">
        <v>198</v>
      </c>
      <c r="D119" s="341">
        <v>3.6025</v>
      </c>
      <c r="E119" s="69"/>
      <c r="F119" s="332">
        <f>SUM(F7)</f>
        <v>45930</v>
      </c>
      <c r="G119" s="84">
        <v>0</v>
      </c>
      <c r="H119" s="84">
        <f>SUM(G119)</f>
        <v>0</v>
      </c>
      <c r="I119" s="84">
        <f>SUM(G119)</f>
        <v>0</v>
      </c>
      <c r="J119" s="153">
        <v>491.76</v>
      </c>
      <c r="K119" s="333">
        <f>SUM(J119+N119+O119+P119)</f>
        <v>10998.58</v>
      </c>
      <c r="L119" s="334"/>
      <c r="M119" s="334"/>
      <c r="N119" s="153">
        <v>3733.59</v>
      </c>
      <c r="O119" s="153">
        <v>3363.41</v>
      </c>
      <c r="P119" s="153">
        <v>3409.82</v>
      </c>
      <c r="Q119" s="153">
        <v>491.76</v>
      </c>
      <c r="S119" s="289">
        <f>SUM(N119:Q119)</f>
        <v>10998.58</v>
      </c>
      <c r="T119" s="289"/>
    </row>
    <row r="120" spans="1:20" s="20" customFormat="1" ht="11.25" customHeight="1" x14ac:dyDescent="0.2">
      <c r="A120" s="309"/>
      <c r="B120" s="305"/>
      <c r="C120" s="297" t="s">
        <v>228</v>
      </c>
      <c r="D120" s="350">
        <v>3.6025</v>
      </c>
      <c r="E120" s="300"/>
      <c r="F120" s="329">
        <f>SUM(F7)</f>
        <v>45930</v>
      </c>
      <c r="G120" s="301">
        <v>152471.04999999999</v>
      </c>
      <c r="H120" s="301">
        <f>SUM(G120)</f>
        <v>152471.04999999999</v>
      </c>
      <c r="I120" s="301">
        <f>SUM(G120)</f>
        <v>152471.04999999999</v>
      </c>
      <c r="J120" s="336">
        <v>8553.99</v>
      </c>
      <c r="K120" s="335">
        <f>SUM(J120+N120+O120+P120)</f>
        <v>12655.400000000001</v>
      </c>
      <c r="L120" s="334"/>
      <c r="M120" s="334"/>
      <c r="N120" s="154">
        <v>1359.28</v>
      </c>
      <c r="O120" s="154">
        <v>1365.42</v>
      </c>
      <c r="P120" s="154">
        <v>1376.71</v>
      </c>
      <c r="Q120" s="154">
        <v>8553.99</v>
      </c>
      <c r="S120" s="289">
        <f>SUM(N120:Q120)</f>
        <v>12655.4</v>
      </c>
      <c r="T120" s="289"/>
    </row>
    <row r="121" spans="1:20" s="20" customFormat="1" ht="11.25" customHeight="1" x14ac:dyDescent="0.2">
      <c r="A121" s="282"/>
      <c r="B121" s="206"/>
      <c r="C121" s="67" t="s">
        <v>229</v>
      </c>
      <c r="D121" s="341">
        <v>3.6025</v>
      </c>
      <c r="E121" s="69"/>
      <c r="F121" s="332">
        <f>SUM(F7)</f>
        <v>45930</v>
      </c>
      <c r="G121" s="84">
        <v>1169735.42</v>
      </c>
      <c r="H121" s="84">
        <f>SUM(G121)</f>
        <v>1169735.42</v>
      </c>
      <c r="I121" s="84">
        <f>SUM(G121)</f>
        <v>1169735.42</v>
      </c>
      <c r="J121" s="153">
        <v>1399.63</v>
      </c>
      <c r="K121" s="333">
        <f>SUM(J121+N121+O121+P121)</f>
        <v>23134.340000000004</v>
      </c>
      <c r="L121" s="334"/>
      <c r="M121" s="334"/>
      <c r="N121" s="153">
        <v>12463.91</v>
      </c>
      <c r="O121" s="153">
        <v>4816.29</v>
      </c>
      <c r="P121" s="153">
        <v>4454.51</v>
      </c>
      <c r="Q121" s="153">
        <v>1399.63</v>
      </c>
      <c r="S121" s="289">
        <f>SUM(N121:Q121)</f>
        <v>23134.34</v>
      </c>
      <c r="T121" s="289"/>
    </row>
    <row r="122" spans="1:20" s="20" customFormat="1" ht="11.25" customHeight="1" x14ac:dyDescent="0.2">
      <c r="A122" s="310"/>
      <c r="B122" s="305"/>
      <c r="C122" s="303" t="s">
        <v>217</v>
      </c>
      <c r="D122" s="351">
        <v>3.6025</v>
      </c>
      <c r="E122" s="304"/>
      <c r="F122" s="329">
        <f>SUM(F7)</f>
        <v>45930</v>
      </c>
      <c r="G122" s="299">
        <v>19861.5</v>
      </c>
      <c r="H122" s="301">
        <f>SUM(G122)</f>
        <v>19861.5</v>
      </c>
      <c r="I122" s="301">
        <f>SUM(G122)</f>
        <v>19861.5</v>
      </c>
      <c r="J122" s="299" t="s">
        <v>96</v>
      </c>
      <c r="K122" s="299" t="s">
        <v>152</v>
      </c>
      <c r="L122" s="334"/>
      <c r="M122" s="334"/>
      <c r="N122" s="28" t="s">
        <v>152</v>
      </c>
      <c r="O122" s="28" t="s">
        <v>152</v>
      </c>
      <c r="P122" s="153" t="s">
        <v>96</v>
      </c>
      <c r="Q122" s="28" t="s">
        <v>152</v>
      </c>
      <c r="S122" s="289"/>
      <c r="T122" s="289"/>
    </row>
    <row r="123" spans="1:20" s="20" customFormat="1" ht="11.25" customHeight="1" x14ac:dyDescent="0.2">
      <c r="A123" s="285"/>
      <c r="B123" s="206"/>
      <c r="C123" s="283" t="s">
        <v>209</v>
      </c>
      <c r="D123" s="342">
        <v>3.6025</v>
      </c>
      <c r="E123" s="284"/>
      <c r="F123" s="332">
        <f>SUM(F7)</f>
        <v>45930</v>
      </c>
      <c r="G123" s="84">
        <v>0</v>
      </c>
      <c r="H123" s="84">
        <f>SUM(G123)</f>
        <v>0</v>
      </c>
      <c r="I123" s="84">
        <f>SUM(G123)</f>
        <v>0</v>
      </c>
      <c r="J123" s="153" t="s">
        <v>96</v>
      </c>
      <c r="K123" s="153" t="s">
        <v>152</v>
      </c>
      <c r="L123" s="334"/>
      <c r="M123" s="334"/>
      <c r="N123" s="28" t="s">
        <v>152</v>
      </c>
      <c r="O123" s="28" t="s">
        <v>152</v>
      </c>
      <c r="P123" s="153" t="s">
        <v>96</v>
      </c>
      <c r="Q123" s="28" t="s">
        <v>152</v>
      </c>
      <c r="S123" s="289"/>
      <c r="T123" s="289"/>
    </row>
    <row r="124" spans="1:20" s="20" customFormat="1" ht="11.25" customHeight="1" x14ac:dyDescent="0.2">
      <c r="A124" s="310"/>
      <c r="B124" s="305"/>
      <c r="C124" s="306" t="s">
        <v>237</v>
      </c>
      <c r="D124" s="351">
        <v>3.6025</v>
      </c>
      <c r="E124" s="304"/>
      <c r="F124" s="329">
        <f>SUM(F7)</f>
        <v>45930</v>
      </c>
      <c r="G124" s="301">
        <v>1</v>
      </c>
      <c r="H124" s="301">
        <f>SUM(G124)</f>
        <v>1</v>
      </c>
      <c r="I124" s="301">
        <f>SUM(G124)</f>
        <v>1</v>
      </c>
      <c r="J124" s="299" t="s">
        <v>96</v>
      </c>
      <c r="K124" s="299" t="s">
        <v>152</v>
      </c>
      <c r="L124" s="334"/>
      <c r="M124" s="334"/>
      <c r="N124" s="28" t="s">
        <v>152</v>
      </c>
      <c r="O124" s="28" t="s">
        <v>152</v>
      </c>
      <c r="P124" s="153" t="s">
        <v>96</v>
      </c>
      <c r="Q124" s="28" t="s">
        <v>152</v>
      </c>
      <c r="S124" s="289"/>
      <c r="T124" s="289"/>
    </row>
    <row r="125" spans="1:20" s="20" customFormat="1" ht="11.25" customHeight="1" x14ac:dyDescent="0.2">
      <c r="A125" s="285"/>
      <c r="B125" s="206"/>
      <c r="C125" s="286" t="s">
        <v>236</v>
      </c>
      <c r="D125" s="342">
        <v>3.6025</v>
      </c>
      <c r="E125" s="284"/>
      <c r="F125" s="332">
        <f>SUM(F7)</f>
        <v>45930</v>
      </c>
      <c r="G125" s="84">
        <v>1</v>
      </c>
      <c r="H125" s="84">
        <f>SUM(G125)</f>
        <v>1</v>
      </c>
      <c r="I125" s="84">
        <f>SUM(G125)</f>
        <v>1</v>
      </c>
      <c r="J125" s="153" t="s">
        <v>96</v>
      </c>
      <c r="K125" s="153" t="s">
        <v>152</v>
      </c>
      <c r="L125" s="334"/>
      <c r="M125" s="334"/>
      <c r="N125" s="28" t="s">
        <v>152</v>
      </c>
      <c r="O125" s="28" t="s">
        <v>152</v>
      </c>
      <c r="P125" s="153" t="s">
        <v>96</v>
      </c>
      <c r="Q125" s="28" t="s">
        <v>152</v>
      </c>
      <c r="S125" s="289"/>
      <c r="T125" s="289"/>
    </row>
    <row r="126" spans="1:20" s="20" customFormat="1" ht="11.25" customHeight="1" x14ac:dyDescent="0.2">
      <c r="A126" s="310"/>
      <c r="B126" s="305"/>
      <c r="C126" s="306" t="s">
        <v>200</v>
      </c>
      <c r="D126" s="351">
        <v>3.6025</v>
      </c>
      <c r="E126" s="304"/>
      <c r="F126" s="329">
        <f>SUM(F7)</f>
        <v>45930</v>
      </c>
      <c r="G126" s="301">
        <v>1843339.31</v>
      </c>
      <c r="H126" s="301">
        <f>SUM(G126)</f>
        <v>1843339.31</v>
      </c>
      <c r="I126" s="301">
        <f>SUM(G126)</f>
        <v>1843339.31</v>
      </c>
      <c r="J126" s="299" t="s">
        <v>96</v>
      </c>
      <c r="K126" s="299" t="s">
        <v>152</v>
      </c>
      <c r="L126" s="334"/>
      <c r="M126" s="334"/>
      <c r="N126" s="28" t="s">
        <v>152</v>
      </c>
      <c r="O126" s="28" t="s">
        <v>152</v>
      </c>
      <c r="P126" s="153" t="s">
        <v>96</v>
      </c>
      <c r="Q126" s="28" t="s">
        <v>152</v>
      </c>
      <c r="S126" s="289"/>
      <c r="T126" s="289"/>
    </row>
    <row r="127" spans="1:20" s="20" customFormat="1" ht="11.25" customHeight="1" x14ac:dyDescent="0.2">
      <c r="A127" s="285"/>
      <c r="B127" s="206"/>
      <c r="C127" s="283" t="s">
        <v>208</v>
      </c>
      <c r="D127" s="342">
        <v>3.6025</v>
      </c>
      <c r="E127" s="284"/>
      <c r="F127" s="332">
        <f>SUM(F7)</f>
        <v>45930</v>
      </c>
      <c r="G127" s="84">
        <v>168011.67</v>
      </c>
      <c r="H127" s="84">
        <f>SUM(G127)</f>
        <v>168011.67</v>
      </c>
      <c r="I127" s="84">
        <f>SUM(G127)</f>
        <v>168011.67</v>
      </c>
      <c r="J127" s="153" t="s">
        <v>96</v>
      </c>
      <c r="K127" s="153" t="s">
        <v>152</v>
      </c>
      <c r="L127" s="334"/>
      <c r="M127" s="334"/>
      <c r="N127" s="28" t="s">
        <v>152</v>
      </c>
      <c r="O127" s="28" t="s">
        <v>152</v>
      </c>
      <c r="P127" s="153" t="s">
        <v>96</v>
      </c>
      <c r="Q127" s="28" t="s">
        <v>152</v>
      </c>
      <c r="S127" s="289"/>
      <c r="T127" s="289"/>
    </row>
    <row r="128" spans="1:20" s="20" customFormat="1" ht="11.25" customHeight="1" x14ac:dyDescent="0.2">
      <c r="A128" s="310"/>
      <c r="B128" s="305"/>
      <c r="C128" s="306" t="s">
        <v>201</v>
      </c>
      <c r="D128" s="351">
        <v>3.6025</v>
      </c>
      <c r="E128" s="304"/>
      <c r="F128" s="329">
        <f>SUM(F7)</f>
        <v>45930</v>
      </c>
      <c r="G128" s="301">
        <v>76320.88</v>
      </c>
      <c r="H128" s="301">
        <f>SUM(G128)</f>
        <v>76320.88</v>
      </c>
      <c r="I128" s="301">
        <f>SUM(G128)</f>
        <v>76320.88</v>
      </c>
      <c r="J128" s="299" t="s">
        <v>96</v>
      </c>
      <c r="K128" s="299" t="s">
        <v>152</v>
      </c>
      <c r="L128" s="334"/>
      <c r="M128" s="334"/>
      <c r="N128" s="28" t="s">
        <v>152</v>
      </c>
      <c r="O128" s="28" t="s">
        <v>152</v>
      </c>
      <c r="P128" s="153" t="s">
        <v>96</v>
      </c>
      <c r="Q128" s="28" t="s">
        <v>152</v>
      </c>
      <c r="S128" s="289"/>
      <c r="T128" s="289"/>
    </row>
    <row r="129" spans="1:20" s="20" customFormat="1" ht="11.25" customHeight="1" x14ac:dyDescent="0.2">
      <c r="A129" s="285"/>
      <c r="B129" s="206"/>
      <c r="C129" s="286" t="s">
        <v>203</v>
      </c>
      <c r="D129" s="342">
        <v>3.6025</v>
      </c>
      <c r="E129" s="284"/>
      <c r="F129" s="332">
        <f>SUM(F7)</f>
        <v>45930</v>
      </c>
      <c r="G129" s="84">
        <v>21526.39</v>
      </c>
      <c r="H129" s="84">
        <f>SUM(G129)</f>
        <v>21526.39</v>
      </c>
      <c r="I129" s="84">
        <f>SUM(G129)</f>
        <v>21526.39</v>
      </c>
      <c r="J129" s="153" t="s">
        <v>96</v>
      </c>
      <c r="K129" s="153" t="s">
        <v>152</v>
      </c>
      <c r="L129" s="334"/>
      <c r="M129" s="334"/>
      <c r="N129" s="28" t="s">
        <v>152</v>
      </c>
      <c r="O129" s="28" t="s">
        <v>152</v>
      </c>
      <c r="P129" s="153" t="s">
        <v>96</v>
      </c>
      <c r="Q129" s="28" t="s">
        <v>152</v>
      </c>
      <c r="S129" s="289"/>
      <c r="T129" s="289"/>
    </row>
    <row r="130" spans="1:20" s="20" customFormat="1" ht="11.25" customHeight="1" x14ac:dyDescent="0.2">
      <c r="A130" s="310"/>
      <c r="B130" s="305"/>
      <c r="C130" s="306" t="s">
        <v>204</v>
      </c>
      <c r="D130" s="351">
        <v>3.6025</v>
      </c>
      <c r="E130" s="304"/>
      <c r="F130" s="329">
        <f>SUM(F7)</f>
        <v>45930</v>
      </c>
      <c r="G130" s="301">
        <v>34273.81</v>
      </c>
      <c r="H130" s="301">
        <f>SUM(G130)</f>
        <v>34273.81</v>
      </c>
      <c r="I130" s="301">
        <f>SUM(G130)</f>
        <v>34273.81</v>
      </c>
      <c r="J130" s="299" t="s">
        <v>96</v>
      </c>
      <c r="K130" s="299" t="s">
        <v>152</v>
      </c>
      <c r="L130" s="334"/>
      <c r="M130" s="334"/>
      <c r="N130" s="28" t="s">
        <v>152</v>
      </c>
      <c r="O130" s="28" t="s">
        <v>152</v>
      </c>
      <c r="P130" s="153" t="s">
        <v>96</v>
      </c>
      <c r="Q130" s="28" t="s">
        <v>152</v>
      </c>
      <c r="S130" s="289"/>
      <c r="T130" s="289"/>
    </row>
    <row r="131" spans="1:20" s="20" customFormat="1" ht="11.25" customHeight="1" x14ac:dyDescent="0.2">
      <c r="A131" s="285"/>
      <c r="B131" s="206"/>
      <c r="C131" s="286" t="s">
        <v>205</v>
      </c>
      <c r="D131" s="342">
        <v>3.6025</v>
      </c>
      <c r="E131" s="284"/>
      <c r="F131" s="332">
        <f>SUM(F7)</f>
        <v>45930</v>
      </c>
      <c r="G131" s="84">
        <v>25648.9</v>
      </c>
      <c r="H131" s="84">
        <f>SUM(G131)</f>
        <v>25648.9</v>
      </c>
      <c r="I131" s="84">
        <f>SUM(G131)</f>
        <v>25648.9</v>
      </c>
      <c r="J131" s="153" t="s">
        <v>96</v>
      </c>
      <c r="K131" s="153" t="s">
        <v>152</v>
      </c>
      <c r="L131" s="334"/>
      <c r="M131" s="334"/>
      <c r="N131" s="28" t="s">
        <v>152</v>
      </c>
      <c r="O131" s="28" t="s">
        <v>152</v>
      </c>
      <c r="P131" s="153" t="s">
        <v>96</v>
      </c>
      <c r="Q131" s="28" t="s">
        <v>152</v>
      </c>
      <c r="S131" s="289"/>
      <c r="T131" s="289"/>
    </row>
    <row r="132" spans="1:20" s="20" customFormat="1" ht="11.25" customHeight="1" x14ac:dyDescent="0.2">
      <c r="A132" s="310"/>
      <c r="B132" s="305"/>
      <c r="C132" s="306" t="s">
        <v>195</v>
      </c>
      <c r="D132" s="351">
        <v>3.6025</v>
      </c>
      <c r="E132" s="304"/>
      <c r="F132" s="329">
        <f>SUM(F7)</f>
        <v>45930</v>
      </c>
      <c r="G132" s="301">
        <v>275759.18</v>
      </c>
      <c r="H132" s="301">
        <f>SUM(G132)</f>
        <v>275759.18</v>
      </c>
      <c r="I132" s="301">
        <f>SUM(G132)</f>
        <v>275759.18</v>
      </c>
      <c r="J132" s="299" t="s">
        <v>96</v>
      </c>
      <c r="K132" s="299" t="s">
        <v>152</v>
      </c>
      <c r="L132" s="334"/>
      <c r="M132" s="334"/>
      <c r="N132" s="28" t="s">
        <v>152</v>
      </c>
      <c r="O132" s="28" t="s">
        <v>152</v>
      </c>
      <c r="P132" s="153" t="s">
        <v>96</v>
      </c>
      <c r="Q132" s="28" t="s">
        <v>152</v>
      </c>
      <c r="S132" s="289"/>
      <c r="T132" s="289"/>
    </row>
    <row r="133" spans="1:20" s="20" customFormat="1" ht="11.25" customHeight="1" x14ac:dyDescent="0.2">
      <c r="A133" s="285"/>
      <c r="B133" s="206"/>
      <c r="C133" s="286" t="s">
        <v>196</v>
      </c>
      <c r="D133" s="342">
        <v>3.6025</v>
      </c>
      <c r="E133" s="284"/>
      <c r="F133" s="332">
        <f>SUM(F7)</f>
        <v>45930</v>
      </c>
      <c r="G133" s="84">
        <v>372402.94</v>
      </c>
      <c r="H133" s="84">
        <f>SUM(G133)</f>
        <v>372402.94</v>
      </c>
      <c r="I133" s="84">
        <f>SUM(G133)</f>
        <v>372402.94</v>
      </c>
      <c r="J133" s="153" t="s">
        <v>96</v>
      </c>
      <c r="K133" s="153" t="s">
        <v>152</v>
      </c>
      <c r="L133" s="334"/>
      <c r="M133" s="334"/>
      <c r="N133" s="28" t="s">
        <v>152</v>
      </c>
      <c r="O133" s="28" t="s">
        <v>152</v>
      </c>
      <c r="P133" s="153" t="s">
        <v>96</v>
      </c>
      <c r="Q133" s="28" t="s">
        <v>152</v>
      </c>
      <c r="S133" s="289"/>
      <c r="T133" s="289"/>
    </row>
    <row r="134" spans="1:20" s="20" customFormat="1" ht="11.25" customHeight="1" x14ac:dyDescent="0.2">
      <c r="A134" s="310"/>
      <c r="B134" s="305"/>
      <c r="C134" s="303" t="s">
        <v>206</v>
      </c>
      <c r="D134" s="351">
        <v>3.6025</v>
      </c>
      <c r="E134" s="304"/>
      <c r="F134" s="329">
        <f>SUM(F7)</f>
        <v>45930</v>
      </c>
      <c r="G134" s="301">
        <v>474232.69</v>
      </c>
      <c r="H134" s="301">
        <f>SUM(G134)</f>
        <v>474232.69</v>
      </c>
      <c r="I134" s="301">
        <f>SUM(G134)</f>
        <v>474232.69</v>
      </c>
      <c r="J134" s="299" t="s">
        <v>96</v>
      </c>
      <c r="K134" s="299" t="s">
        <v>152</v>
      </c>
      <c r="L134" s="334"/>
      <c r="M134" s="334"/>
      <c r="N134" s="28" t="s">
        <v>152</v>
      </c>
      <c r="O134" s="28" t="s">
        <v>152</v>
      </c>
      <c r="P134" s="153" t="s">
        <v>96</v>
      </c>
      <c r="Q134" s="28" t="s">
        <v>152</v>
      </c>
      <c r="S134" s="289"/>
      <c r="T134" s="289"/>
    </row>
    <row r="135" spans="1:20" s="20" customFormat="1" ht="11.25" customHeight="1" x14ac:dyDescent="0.2">
      <c r="A135" s="285"/>
      <c r="B135" s="206"/>
      <c r="C135" s="283" t="s">
        <v>210</v>
      </c>
      <c r="D135" s="342">
        <v>3.6025</v>
      </c>
      <c r="E135" s="284"/>
      <c r="F135" s="332">
        <f>SUM(F7)</f>
        <v>45930</v>
      </c>
      <c r="G135" s="84">
        <v>10629.66</v>
      </c>
      <c r="H135" s="84">
        <f>SUM(G135)</f>
        <v>10629.66</v>
      </c>
      <c r="I135" s="84">
        <f>SUM(G135)</f>
        <v>10629.66</v>
      </c>
      <c r="J135" s="153" t="s">
        <v>96</v>
      </c>
      <c r="K135" s="153" t="s">
        <v>152</v>
      </c>
      <c r="L135" s="331"/>
      <c r="M135" s="331"/>
      <c r="N135" s="28" t="s">
        <v>152</v>
      </c>
      <c r="O135" s="28" t="s">
        <v>152</v>
      </c>
      <c r="P135" s="153" t="s">
        <v>96</v>
      </c>
      <c r="Q135" s="28" t="s">
        <v>152</v>
      </c>
      <c r="S135" s="289"/>
      <c r="T135" s="289"/>
    </row>
    <row r="136" spans="1:20" s="20" customFormat="1" ht="11.25" customHeight="1" x14ac:dyDescent="0.2">
      <c r="A136" s="310"/>
      <c r="B136" s="305"/>
      <c r="C136" s="306" t="s">
        <v>199</v>
      </c>
      <c r="D136" s="351">
        <v>3.6025</v>
      </c>
      <c r="E136" s="304"/>
      <c r="F136" s="329">
        <f>SUM(F7)</f>
        <v>45930</v>
      </c>
      <c r="G136" s="301">
        <v>58610.33</v>
      </c>
      <c r="H136" s="301">
        <f>SUM(G136)</f>
        <v>58610.33</v>
      </c>
      <c r="I136" s="301">
        <f>SUM(G136)</f>
        <v>58610.33</v>
      </c>
      <c r="J136" s="299" t="s">
        <v>96</v>
      </c>
      <c r="K136" s="299" t="s">
        <v>152</v>
      </c>
      <c r="L136" s="331"/>
      <c r="M136" s="331"/>
      <c r="N136" s="28" t="s">
        <v>152</v>
      </c>
      <c r="O136" s="28" t="s">
        <v>152</v>
      </c>
      <c r="P136" s="153" t="s">
        <v>96</v>
      </c>
      <c r="Q136" s="28" t="s">
        <v>152</v>
      </c>
      <c r="S136" s="289"/>
      <c r="T136" s="289"/>
    </row>
    <row r="137" spans="1:20" s="20" customFormat="1" ht="11.25" customHeight="1" x14ac:dyDescent="0.2">
      <c r="A137" s="285"/>
      <c r="B137" s="206"/>
      <c r="C137" s="283" t="s">
        <v>93</v>
      </c>
      <c r="D137" s="342">
        <v>3.6025</v>
      </c>
      <c r="E137" s="284"/>
      <c r="F137" s="332">
        <f>SUM(F7)</f>
        <v>45930</v>
      </c>
      <c r="G137" s="84">
        <v>39623.94</v>
      </c>
      <c r="H137" s="84">
        <f>SUM(G137)</f>
        <v>39623.94</v>
      </c>
      <c r="I137" s="84">
        <f>SUM(G137)</f>
        <v>39623.94</v>
      </c>
      <c r="J137" s="153" t="s">
        <v>96</v>
      </c>
      <c r="K137" s="153" t="s">
        <v>152</v>
      </c>
      <c r="L137" s="334"/>
      <c r="M137" s="334"/>
      <c r="N137" s="28" t="s">
        <v>152</v>
      </c>
      <c r="O137" s="28" t="s">
        <v>152</v>
      </c>
      <c r="P137" s="153" t="s">
        <v>96</v>
      </c>
      <c r="Q137" s="28" t="s">
        <v>152</v>
      </c>
      <c r="S137" s="289"/>
      <c r="T137" s="289"/>
    </row>
    <row r="138" spans="1:20" s="20" customFormat="1" ht="11.25" customHeight="1" x14ac:dyDescent="0.2">
      <c r="A138" s="310"/>
      <c r="B138" s="305"/>
      <c r="C138" s="303" t="s">
        <v>207</v>
      </c>
      <c r="D138" s="351">
        <v>3.6025</v>
      </c>
      <c r="E138" s="304"/>
      <c r="F138" s="329">
        <f>SUM(F7)</f>
        <v>45930</v>
      </c>
      <c r="G138" s="301">
        <v>2308</v>
      </c>
      <c r="H138" s="301">
        <f>SUM(G138)</f>
        <v>2308</v>
      </c>
      <c r="I138" s="301">
        <f>SUM(G138)</f>
        <v>2308</v>
      </c>
      <c r="J138" s="299" t="s">
        <v>96</v>
      </c>
      <c r="K138" s="299" t="s">
        <v>152</v>
      </c>
      <c r="L138" s="334"/>
      <c r="M138" s="334"/>
      <c r="N138" s="28" t="s">
        <v>152</v>
      </c>
      <c r="O138" s="28" t="s">
        <v>152</v>
      </c>
      <c r="P138" s="153" t="s">
        <v>96</v>
      </c>
      <c r="Q138" s="28" t="s">
        <v>152</v>
      </c>
      <c r="S138" s="289"/>
      <c r="T138" s="289"/>
    </row>
    <row r="139" spans="1:20" s="20" customFormat="1" ht="11.25" customHeight="1" x14ac:dyDescent="0.2">
      <c r="A139" s="285"/>
      <c r="B139" s="206"/>
      <c r="C139" s="283" t="s">
        <v>211</v>
      </c>
      <c r="D139" s="342">
        <v>3.6025</v>
      </c>
      <c r="E139" s="284"/>
      <c r="F139" s="332">
        <f>SUM(F7)</f>
        <v>45930</v>
      </c>
      <c r="G139" s="84">
        <v>6827.64</v>
      </c>
      <c r="H139" s="84">
        <f>SUM(G139)</f>
        <v>6827.64</v>
      </c>
      <c r="I139" s="84">
        <f>SUM(G139)</f>
        <v>6827.64</v>
      </c>
      <c r="J139" s="153" t="s">
        <v>96</v>
      </c>
      <c r="K139" s="153" t="s">
        <v>152</v>
      </c>
      <c r="L139" s="334"/>
      <c r="M139" s="334"/>
      <c r="N139" s="28" t="s">
        <v>152</v>
      </c>
      <c r="O139" s="28" t="s">
        <v>152</v>
      </c>
      <c r="P139" s="153" t="s">
        <v>96</v>
      </c>
      <c r="Q139" s="28" t="s">
        <v>152</v>
      </c>
      <c r="S139" s="289"/>
      <c r="T139" s="289"/>
    </row>
    <row r="140" spans="1:20" s="20" customFormat="1" ht="11.25" customHeight="1" x14ac:dyDescent="0.2">
      <c r="A140" s="310"/>
      <c r="B140" s="305"/>
      <c r="C140" s="303" t="s">
        <v>153</v>
      </c>
      <c r="D140" s="351">
        <v>3.6025</v>
      </c>
      <c r="E140" s="304"/>
      <c r="F140" s="329">
        <f>SUM(F7)</f>
        <v>45930</v>
      </c>
      <c r="G140" s="301">
        <v>6539.14</v>
      </c>
      <c r="H140" s="301">
        <f>SUM(G140)</f>
        <v>6539.14</v>
      </c>
      <c r="I140" s="301">
        <f>SUM(G140)</f>
        <v>6539.14</v>
      </c>
      <c r="J140" s="299" t="s">
        <v>96</v>
      </c>
      <c r="K140" s="299" t="s">
        <v>152</v>
      </c>
      <c r="L140" s="334"/>
      <c r="M140" s="334"/>
      <c r="N140" s="28" t="s">
        <v>152</v>
      </c>
      <c r="O140" s="28" t="s">
        <v>152</v>
      </c>
      <c r="P140" s="153" t="s">
        <v>96</v>
      </c>
      <c r="Q140" s="28" t="s">
        <v>152</v>
      </c>
      <c r="S140" s="289"/>
      <c r="T140" s="289"/>
    </row>
    <row r="141" spans="1:20" s="20" customFormat="1" ht="11.25" customHeight="1" x14ac:dyDescent="0.2">
      <c r="A141" s="285"/>
      <c r="B141" s="206"/>
      <c r="C141" s="286" t="s">
        <v>202</v>
      </c>
      <c r="D141" s="342">
        <v>3.6025</v>
      </c>
      <c r="E141" s="284"/>
      <c r="F141" s="332">
        <f>SUM(F7)</f>
        <v>45930</v>
      </c>
      <c r="G141" s="84">
        <v>4838.78</v>
      </c>
      <c r="H141" s="84">
        <f>SUM(G141)</f>
        <v>4838.78</v>
      </c>
      <c r="I141" s="84">
        <f>SUM(G141)</f>
        <v>4838.78</v>
      </c>
      <c r="J141" s="153" t="s">
        <v>96</v>
      </c>
      <c r="K141" s="153" t="s">
        <v>152</v>
      </c>
      <c r="L141" s="334"/>
      <c r="M141" s="334"/>
      <c r="N141" s="28" t="s">
        <v>152</v>
      </c>
      <c r="O141" s="28" t="s">
        <v>152</v>
      </c>
      <c r="P141" s="153" t="s">
        <v>96</v>
      </c>
      <c r="Q141" s="28" t="s">
        <v>152</v>
      </c>
      <c r="S141" s="289"/>
      <c r="T141" s="289"/>
    </row>
    <row r="142" spans="1:20" ht="11.25" customHeight="1" x14ac:dyDescent="0.2">
      <c r="A142" s="310"/>
      <c r="B142" s="305"/>
      <c r="C142" s="303" t="s">
        <v>215</v>
      </c>
      <c r="D142" s="351">
        <v>3.6025</v>
      </c>
      <c r="E142" s="304"/>
      <c r="F142" s="329">
        <f>SUM(F7)</f>
        <v>45930</v>
      </c>
      <c r="G142" s="301">
        <v>1902309.86</v>
      </c>
      <c r="H142" s="301">
        <f>SUM(G142)</f>
        <v>1902309.86</v>
      </c>
      <c r="I142" s="301">
        <f>SUM(G142)</f>
        <v>1902309.86</v>
      </c>
      <c r="J142" s="299" t="s">
        <v>96</v>
      </c>
      <c r="K142" s="299" t="s">
        <v>152</v>
      </c>
      <c r="L142" s="334"/>
      <c r="M142" s="334"/>
      <c r="N142" s="28" t="s">
        <v>152</v>
      </c>
      <c r="O142" s="28" t="s">
        <v>152</v>
      </c>
      <c r="P142" s="153" t="s">
        <v>96</v>
      </c>
      <c r="Q142" s="28" t="s">
        <v>152</v>
      </c>
    </row>
    <row r="143" spans="1:20" ht="11.25" customHeight="1" x14ac:dyDescent="0.2">
      <c r="A143" s="285"/>
      <c r="B143" s="206"/>
      <c r="C143" s="283" t="s">
        <v>216</v>
      </c>
      <c r="D143" s="342">
        <v>3.6025</v>
      </c>
      <c r="E143" s="284"/>
      <c r="F143" s="332">
        <f>SUM(F7)</f>
        <v>45930</v>
      </c>
      <c r="G143" s="84">
        <v>55664.7</v>
      </c>
      <c r="H143" s="84">
        <f>SUM(G143)</f>
        <v>55664.7</v>
      </c>
      <c r="I143" s="84">
        <f>SUM(G143)</f>
        <v>55664.7</v>
      </c>
      <c r="J143" s="153" t="s">
        <v>96</v>
      </c>
      <c r="K143" s="153" t="s">
        <v>152</v>
      </c>
      <c r="L143" s="334"/>
      <c r="M143" s="334"/>
      <c r="N143" s="28" t="s">
        <v>152</v>
      </c>
      <c r="O143" s="28" t="s">
        <v>152</v>
      </c>
      <c r="P143" s="153" t="s">
        <v>96</v>
      </c>
      <c r="Q143" s="28" t="s">
        <v>152</v>
      </c>
    </row>
    <row r="144" spans="1:20" ht="11.25" customHeight="1" x14ac:dyDescent="0.2">
      <c r="A144" s="310"/>
      <c r="B144" s="305"/>
      <c r="C144" s="303" t="s">
        <v>197</v>
      </c>
      <c r="D144" s="351">
        <v>3.6025</v>
      </c>
      <c r="E144" s="304"/>
      <c r="F144" s="329">
        <f>SUM(F7)</f>
        <v>45930</v>
      </c>
      <c r="G144" s="301">
        <v>7050.45</v>
      </c>
      <c r="H144" s="301">
        <f>SUM(G144)</f>
        <v>7050.45</v>
      </c>
      <c r="I144" s="301">
        <f>SUM(G144)</f>
        <v>7050.45</v>
      </c>
      <c r="J144" s="299" t="s">
        <v>96</v>
      </c>
      <c r="K144" s="299" t="s">
        <v>152</v>
      </c>
      <c r="L144" s="334"/>
      <c r="M144" s="334"/>
      <c r="N144" s="28" t="s">
        <v>152</v>
      </c>
      <c r="O144" s="28" t="s">
        <v>152</v>
      </c>
      <c r="P144" s="153" t="s">
        <v>96</v>
      </c>
      <c r="Q144" s="28" t="s">
        <v>152</v>
      </c>
    </row>
    <row r="145" spans="1:20" ht="11.25" customHeight="1" x14ac:dyDescent="0.2">
      <c r="A145" s="285"/>
      <c r="B145" s="206"/>
      <c r="C145" s="283" t="s">
        <v>212</v>
      </c>
      <c r="D145" s="342">
        <v>3.6025</v>
      </c>
      <c r="E145" s="284"/>
      <c r="F145" s="332">
        <f>SUM(F7)</f>
        <v>45930</v>
      </c>
      <c r="G145" s="84">
        <v>35321.599999999999</v>
      </c>
      <c r="H145" s="84">
        <f>SUM(G145)</f>
        <v>35321.599999999999</v>
      </c>
      <c r="I145" s="84">
        <f>SUM(G145)</f>
        <v>35321.599999999999</v>
      </c>
      <c r="J145" s="153" t="s">
        <v>96</v>
      </c>
      <c r="K145" s="153" t="s">
        <v>152</v>
      </c>
      <c r="L145" s="334"/>
      <c r="M145" s="334"/>
      <c r="N145" s="28" t="s">
        <v>152</v>
      </c>
      <c r="O145" s="28" t="s">
        <v>152</v>
      </c>
      <c r="P145" s="153" t="s">
        <v>96</v>
      </c>
      <c r="Q145" s="28" t="s">
        <v>152</v>
      </c>
    </row>
    <row r="146" spans="1:20" ht="11.25" customHeight="1" x14ac:dyDescent="0.2">
      <c r="A146" s="310"/>
      <c r="B146" s="305"/>
      <c r="C146" s="303" t="s">
        <v>213</v>
      </c>
      <c r="D146" s="351">
        <v>3.6025</v>
      </c>
      <c r="E146" s="304"/>
      <c r="F146" s="329">
        <f>SUM(F7)</f>
        <v>45930</v>
      </c>
      <c r="G146" s="301">
        <v>216.36</v>
      </c>
      <c r="H146" s="301">
        <f>SUM(G146)</f>
        <v>216.36</v>
      </c>
      <c r="I146" s="301">
        <f>SUM(G146)</f>
        <v>216.36</v>
      </c>
      <c r="J146" s="299" t="s">
        <v>96</v>
      </c>
      <c r="K146" s="299" t="s">
        <v>152</v>
      </c>
      <c r="L146" s="334"/>
      <c r="M146" s="334"/>
      <c r="N146" s="28" t="s">
        <v>152</v>
      </c>
      <c r="O146" s="28" t="s">
        <v>152</v>
      </c>
      <c r="P146" s="153" t="s">
        <v>96</v>
      </c>
      <c r="Q146" s="28" t="s">
        <v>152</v>
      </c>
    </row>
    <row r="147" spans="1:20" ht="11.25" customHeight="1" x14ac:dyDescent="0.2">
      <c r="A147" s="282"/>
      <c r="B147" s="287"/>
      <c r="C147" s="283" t="s">
        <v>230</v>
      </c>
      <c r="D147" s="342">
        <v>3.6025</v>
      </c>
      <c r="E147" s="284"/>
      <c r="F147" s="332">
        <f>SUM(F7)</f>
        <v>45930</v>
      </c>
      <c r="G147" s="84">
        <v>208120.84</v>
      </c>
      <c r="H147" s="84">
        <f>SUM(G147)</f>
        <v>208120.84</v>
      </c>
      <c r="I147" s="84">
        <f>SUM(G147)</f>
        <v>208120.84</v>
      </c>
      <c r="J147" s="153" t="s">
        <v>96</v>
      </c>
      <c r="K147" s="153" t="s">
        <v>152</v>
      </c>
      <c r="L147" s="334"/>
      <c r="M147" s="334"/>
      <c r="N147" s="28" t="s">
        <v>152</v>
      </c>
      <c r="O147" s="28" t="s">
        <v>152</v>
      </c>
      <c r="P147" s="153" t="s">
        <v>96</v>
      </c>
      <c r="Q147" s="28" t="s">
        <v>152</v>
      </c>
    </row>
    <row r="148" spans="1:20" ht="11.25" customHeight="1" x14ac:dyDescent="0.2">
      <c r="A148" s="310"/>
      <c r="B148" s="305"/>
      <c r="C148" s="303" t="s">
        <v>214</v>
      </c>
      <c r="D148" s="351">
        <v>3.6025</v>
      </c>
      <c r="E148" s="304"/>
      <c r="F148" s="329">
        <f>SUM(F7)</f>
        <v>45930</v>
      </c>
      <c r="G148" s="301">
        <v>1268813.3700000001</v>
      </c>
      <c r="H148" s="301">
        <f>SUM(G148)</f>
        <v>1268813.3700000001</v>
      </c>
      <c r="I148" s="301">
        <f>SUM(G148)</f>
        <v>1268813.3700000001</v>
      </c>
      <c r="J148" s="299" t="s">
        <v>96</v>
      </c>
      <c r="K148" s="299" t="s">
        <v>152</v>
      </c>
      <c r="L148" s="334"/>
      <c r="M148" s="334"/>
      <c r="N148" s="28" t="s">
        <v>152</v>
      </c>
      <c r="O148" s="28" t="s">
        <v>152</v>
      </c>
      <c r="P148" s="153" t="s">
        <v>96</v>
      </c>
      <c r="Q148" s="28" t="s">
        <v>152</v>
      </c>
    </row>
    <row r="149" spans="1:20" ht="11.25" customHeight="1" x14ac:dyDescent="0.2">
      <c r="A149" s="285"/>
      <c r="B149" s="206"/>
      <c r="C149" s="286" t="s">
        <v>233</v>
      </c>
      <c r="D149" s="342">
        <v>3.6025</v>
      </c>
      <c r="E149" s="284"/>
      <c r="F149" s="332">
        <f>SUM(F7)</f>
        <v>45930</v>
      </c>
      <c r="G149" s="84">
        <v>614509.24</v>
      </c>
      <c r="H149" s="84">
        <f>SUM(G149)</f>
        <v>614509.24</v>
      </c>
      <c r="I149" s="84">
        <f>SUM(G149)</f>
        <v>614509.24</v>
      </c>
      <c r="J149" s="153" t="s">
        <v>96</v>
      </c>
      <c r="K149" s="153" t="s">
        <v>152</v>
      </c>
      <c r="L149" s="334"/>
      <c r="M149" s="334"/>
      <c r="N149" s="28" t="s">
        <v>152</v>
      </c>
      <c r="O149" s="28" t="s">
        <v>152</v>
      </c>
      <c r="P149" s="153" t="s">
        <v>96</v>
      </c>
      <c r="Q149" s="28" t="s">
        <v>152</v>
      </c>
    </row>
    <row r="150" spans="1:20" ht="11.25" customHeight="1" x14ac:dyDescent="0.2">
      <c r="A150" s="310"/>
      <c r="B150" s="305"/>
      <c r="C150" s="306" t="s">
        <v>234</v>
      </c>
      <c r="D150" s="351">
        <v>3.6025</v>
      </c>
      <c r="E150" s="304"/>
      <c r="F150" s="329">
        <f>SUM(F7)</f>
        <v>45930</v>
      </c>
      <c r="G150" s="301">
        <v>17032.04</v>
      </c>
      <c r="H150" s="301">
        <f>SUM(G150)</f>
        <v>17032.04</v>
      </c>
      <c r="I150" s="301">
        <f>SUM(G150)</f>
        <v>17032.04</v>
      </c>
      <c r="J150" s="299" t="s">
        <v>96</v>
      </c>
      <c r="K150" s="299" t="s">
        <v>152</v>
      </c>
      <c r="L150" s="334"/>
      <c r="M150" s="334"/>
      <c r="N150" s="28" t="s">
        <v>152</v>
      </c>
      <c r="O150" s="28" t="s">
        <v>152</v>
      </c>
      <c r="P150" s="153" t="s">
        <v>96</v>
      </c>
      <c r="Q150" s="28" t="s">
        <v>152</v>
      </c>
    </row>
    <row r="151" spans="1:20" ht="11.25" customHeight="1" x14ac:dyDescent="0.2">
      <c r="A151" s="285"/>
      <c r="B151" s="206"/>
      <c r="C151" s="286" t="s">
        <v>235</v>
      </c>
      <c r="D151" s="342">
        <v>3.6025</v>
      </c>
      <c r="E151" s="284"/>
      <c r="F151" s="332">
        <f>SUM(F7)</f>
        <v>45930</v>
      </c>
      <c r="G151" s="84">
        <v>12802</v>
      </c>
      <c r="H151" s="84">
        <f>SUM(G151)</f>
        <v>12802</v>
      </c>
      <c r="I151" s="84">
        <f>SUM(G151)</f>
        <v>12802</v>
      </c>
      <c r="J151" s="153" t="s">
        <v>96</v>
      </c>
      <c r="K151" s="153" t="s">
        <v>152</v>
      </c>
      <c r="L151" s="334"/>
      <c r="M151" s="334"/>
      <c r="N151" s="28" t="s">
        <v>152</v>
      </c>
      <c r="O151" s="28" t="s">
        <v>152</v>
      </c>
      <c r="P151" s="153" t="s">
        <v>96</v>
      </c>
      <c r="Q151" s="28" t="s">
        <v>152</v>
      </c>
    </row>
    <row r="152" spans="1:20" ht="11.25" customHeight="1" x14ac:dyDescent="0.2">
      <c r="A152" s="310"/>
      <c r="B152" s="305"/>
      <c r="C152" s="303" t="s">
        <v>219</v>
      </c>
      <c r="D152" s="351">
        <v>3.6025</v>
      </c>
      <c r="E152" s="304"/>
      <c r="F152" s="329">
        <f>SUM(F7)</f>
        <v>45930</v>
      </c>
      <c r="G152" s="301">
        <v>10934.98</v>
      </c>
      <c r="H152" s="301">
        <f>SUM(G152)</f>
        <v>10934.98</v>
      </c>
      <c r="I152" s="301">
        <f>SUM(G152)</f>
        <v>10934.98</v>
      </c>
      <c r="J152" s="299" t="s">
        <v>96</v>
      </c>
      <c r="K152" s="299" t="s">
        <v>152</v>
      </c>
      <c r="L152" s="334"/>
      <c r="M152" s="334"/>
      <c r="N152" s="28" t="s">
        <v>152</v>
      </c>
      <c r="O152" s="28" t="s">
        <v>152</v>
      </c>
      <c r="P152" s="153" t="s">
        <v>96</v>
      </c>
      <c r="Q152" s="28" t="s">
        <v>152</v>
      </c>
    </row>
    <row r="153" spans="1:20" ht="11.25" customHeight="1" x14ac:dyDescent="0.2">
      <c r="A153" s="285"/>
      <c r="B153" s="206"/>
      <c r="C153" s="286" t="s">
        <v>231</v>
      </c>
      <c r="D153" s="342">
        <v>3.6025</v>
      </c>
      <c r="E153" s="284"/>
      <c r="F153" s="332">
        <f>SUM(F7)</f>
        <v>45930</v>
      </c>
      <c r="G153" s="84">
        <v>0</v>
      </c>
      <c r="H153" s="84">
        <v>0</v>
      </c>
      <c r="I153" s="84">
        <v>0</v>
      </c>
      <c r="J153" s="153" t="s">
        <v>96</v>
      </c>
      <c r="K153" s="153" t="s">
        <v>152</v>
      </c>
      <c r="L153" s="334"/>
      <c r="M153" s="334"/>
      <c r="N153" s="28" t="s">
        <v>152</v>
      </c>
      <c r="O153" s="28" t="s">
        <v>152</v>
      </c>
      <c r="P153" s="153" t="s">
        <v>96</v>
      </c>
      <c r="Q153" s="28" t="s">
        <v>152</v>
      </c>
    </row>
    <row r="154" spans="1:20" s="24" customFormat="1" ht="11.25" customHeight="1" x14ac:dyDescent="0.2">
      <c r="A154" s="309"/>
      <c r="B154" s="305"/>
      <c r="C154" s="306" t="s">
        <v>232</v>
      </c>
      <c r="D154" s="351">
        <v>3.6025</v>
      </c>
      <c r="E154" s="304"/>
      <c r="F154" s="329">
        <f>SUM(F7)</f>
        <v>45930</v>
      </c>
      <c r="G154" s="301">
        <v>0</v>
      </c>
      <c r="H154" s="301">
        <v>0</v>
      </c>
      <c r="I154" s="301">
        <v>0</v>
      </c>
      <c r="J154" s="299" t="s">
        <v>96</v>
      </c>
      <c r="K154" s="299" t="s">
        <v>152</v>
      </c>
      <c r="L154" s="334"/>
      <c r="M154" s="334"/>
      <c r="N154" s="28" t="s">
        <v>152</v>
      </c>
      <c r="O154" s="28" t="s">
        <v>152</v>
      </c>
      <c r="P154" s="153" t="s">
        <v>96</v>
      </c>
      <c r="Q154" s="28" t="s">
        <v>152</v>
      </c>
      <c r="S154" s="289"/>
      <c r="T154" s="289"/>
    </row>
    <row r="155" spans="1:20" s="24" customFormat="1" x14ac:dyDescent="0.2">
      <c r="A155" s="36"/>
      <c r="B155" s="66"/>
      <c r="C155" s="70"/>
      <c r="D155" s="101"/>
      <c r="F155" s="202" t="s">
        <v>151</v>
      </c>
      <c r="G155" s="203">
        <f>SUM(G104:G154)</f>
        <v>38027396.089999996</v>
      </c>
      <c r="H155" s="203">
        <f>SUM(H104:H154)</f>
        <v>38027396.089999996</v>
      </c>
      <c r="I155" s="203">
        <f>SUM(I104:I154)</f>
        <v>38027396.089999996</v>
      </c>
      <c r="J155" s="203">
        <f>SUM(J104:J154)</f>
        <v>180570.17</v>
      </c>
      <c r="K155" s="295">
        <f>SUM(J155+N155+O155+P155)</f>
        <v>470446.19000000006</v>
      </c>
      <c r="L155" s="207"/>
      <c r="M155" s="207"/>
      <c r="N155" s="204">
        <f>SUM(N104:N154)</f>
        <v>78925.670000000013</v>
      </c>
      <c r="O155" s="204">
        <f>SUM(O104:O154)</f>
        <v>99899.939999999988</v>
      </c>
      <c r="P155" s="204">
        <f>SUM(P104:P154)</f>
        <v>111050.41</v>
      </c>
      <c r="Q155" s="204">
        <f>SUM(Q104:Q154)</f>
        <v>180570.17</v>
      </c>
      <c r="S155" s="296">
        <f>SUM(N155:Q155)</f>
        <v>470446.19000000006</v>
      </c>
      <c r="T155" s="289"/>
    </row>
    <row r="156" spans="1:20" s="24" customFormat="1" x14ac:dyDescent="0.2">
      <c r="A156" s="36"/>
      <c r="B156" s="66"/>
      <c r="C156" s="70"/>
      <c r="D156" s="101"/>
      <c r="F156" s="27"/>
      <c r="G156" s="17"/>
      <c r="H156" s="17"/>
      <c r="I156" s="17"/>
      <c r="J156" s="17"/>
      <c r="K156" s="99"/>
      <c r="L156" s="143"/>
      <c r="M156" s="143"/>
      <c r="N156" s="28"/>
      <c r="O156" s="28"/>
      <c r="P156" s="28"/>
      <c r="S156" s="289"/>
      <c r="T156" s="289"/>
    </row>
    <row r="157" spans="1:20" s="24" customFormat="1" x14ac:dyDescent="0.2">
      <c r="A157" s="38" t="s">
        <v>123</v>
      </c>
      <c r="B157" s="87"/>
      <c r="C157" s="52"/>
      <c r="D157" s="100"/>
      <c r="E157" s="20"/>
      <c r="F157" s="34"/>
      <c r="G157" s="50">
        <f>SUM(G155,G44:G98)</f>
        <v>104318902.61</v>
      </c>
      <c r="H157" s="50">
        <f>SUM(H155,H44:H98)</f>
        <v>104308115.61</v>
      </c>
      <c r="I157" s="50">
        <f>SUM(I155,I44:I98)</f>
        <v>104331496.70999998</v>
      </c>
      <c r="J157" s="50">
        <f>SUM(J155,J44:J98)</f>
        <v>936718.91999999993</v>
      </c>
      <c r="K157" s="88">
        <f>SUM(J157+N157+O157+P157)</f>
        <v>3509708.2</v>
      </c>
      <c r="L157" s="144"/>
      <c r="M157" s="144"/>
      <c r="N157" s="50">
        <f>SUM(N155,N44:N98)</f>
        <v>755842.21999999986</v>
      </c>
      <c r="O157" s="50">
        <f>SUM(O155,O44:O98)</f>
        <v>997405.24000000011</v>
      </c>
      <c r="P157" s="50">
        <f>SUM(P154,P44:P98)</f>
        <v>819741.82000000007</v>
      </c>
      <c r="Q157" s="50">
        <f>SUM(Q155,Q44:Q98)</f>
        <v>936718.91999999993</v>
      </c>
      <c r="S157" s="289">
        <f>SUM(N157:Q157)</f>
        <v>3509708.2</v>
      </c>
      <c r="T157" s="289"/>
    </row>
    <row r="161" spans="7:10" x14ac:dyDescent="0.2">
      <c r="J161" s="65" t="s">
        <v>0</v>
      </c>
    </row>
    <row r="162" spans="7:10" x14ac:dyDescent="0.2">
      <c r="J162" s="65" t="s">
        <v>0</v>
      </c>
    </row>
    <row r="168" spans="7:10" x14ac:dyDescent="0.2">
      <c r="G168" s="65" t="s">
        <v>0</v>
      </c>
    </row>
  </sheetData>
  <sortState xmlns:xlrd2="http://schemas.microsoft.com/office/spreadsheetml/2017/richdata2" ref="C105:Q121">
    <sortCondition ref="C105:C121"/>
  </sortState>
  <mergeCells count="3">
    <mergeCell ref="M5:M6"/>
    <mergeCell ref="A1:M1"/>
    <mergeCell ref="L4:L6"/>
  </mergeCells>
  <phoneticPr fontId="5" type="noConversion"/>
  <pageMargins left="0.5" right="0.25" top="0.25" bottom="0.25" header="0" footer="0"/>
  <pageSetup paperSize="5" scale="87" firstPageNumber="2" fitToHeight="0" orientation="landscape" useFirstPageNumber="1" r:id="rId1"/>
  <headerFooter alignWithMargins="0">
    <oddFooter>&amp;C&amp;P</oddFooter>
  </headerFooter>
  <ignoredErrors>
    <ignoredError sqref="K157 P157" formula="1"/>
    <ignoredError sqref="K44 K25:K27 K55 K103" evalError="1"/>
    <ignoredError sqref="S28:S43 S97:S98 S77:S7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9"/>
  <sheetViews>
    <sheetView topLeftCell="A45" zoomScaleNormal="100" workbookViewId="0">
      <selection activeCell="K93" sqref="K93"/>
    </sheetView>
  </sheetViews>
  <sheetFormatPr defaultColWidth="9.140625" defaultRowHeight="12.75" outlineLevelRow="1" x14ac:dyDescent="0.2"/>
  <cols>
    <col min="1" max="1" width="23.7109375" customWidth="1"/>
    <col min="2" max="2" width="20.42578125" bestFit="1" customWidth="1"/>
    <col min="3" max="3" width="11.5703125" style="174" customWidth="1"/>
    <col min="4" max="4" width="11.5703125" style="19" customWidth="1"/>
    <col min="5" max="5" width="1.42578125" customWidth="1"/>
    <col min="6" max="6" width="16.85546875" style="3" bestFit="1" customWidth="1"/>
    <col min="7" max="7" width="9.5703125" style="3" bestFit="1" customWidth="1"/>
    <col min="8" max="8" width="17.5703125" style="3" customWidth="1"/>
    <col min="9" max="9" width="1.5703125" style="10" customWidth="1"/>
    <col min="10" max="10" width="16.85546875" style="3" bestFit="1" customWidth="1"/>
    <col min="11" max="11" width="9.5703125" style="3" bestFit="1" customWidth="1"/>
    <col min="12" max="12" width="17.5703125" style="3" customWidth="1"/>
    <col min="13" max="13" width="1.42578125" style="3" customWidth="1"/>
    <col min="14" max="14" width="16.28515625" style="164" customWidth="1"/>
    <col min="15" max="15" width="1.7109375" customWidth="1"/>
    <col min="16" max="16" width="20" style="197" customWidth="1"/>
  </cols>
  <sheetData>
    <row r="1" spans="1:16" x14ac:dyDescent="0.2">
      <c r="A1" s="54"/>
      <c r="B1" s="160"/>
      <c r="C1" s="160"/>
      <c r="D1" s="161"/>
      <c r="E1" s="161"/>
      <c r="F1" s="127"/>
      <c r="G1" s="127"/>
      <c r="H1" s="127"/>
      <c r="I1" s="161"/>
      <c r="J1" s="127"/>
      <c r="K1" s="127"/>
      <c r="L1" s="127"/>
      <c r="M1" s="161"/>
      <c r="O1" s="161"/>
    </row>
    <row r="2" spans="1:16" s="35" customFormat="1" x14ac:dyDescent="0.2">
      <c r="A2" s="139"/>
      <c r="B2" s="165"/>
      <c r="C2" s="139"/>
      <c r="D2" s="166"/>
      <c r="E2" s="212"/>
      <c r="F2" s="88"/>
      <c r="G2" s="138">
        <v>45838</v>
      </c>
      <c r="H2" s="88"/>
      <c r="I2" s="167"/>
      <c r="J2" s="88"/>
      <c r="K2" s="138">
        <v>45930</v>
      </c>
      <c r="L2" s="88"/>
      <c r="M2" s="167"/>
      <c r="N2" s="98"/>
      <c r="O2" s="133"/>
      <c r="P2" s="256" t="s">
        <v>242</v>
      </c>
    </row>
    <row r="3" spans="1:16" s="35" customFormat="1" x14ac:dyDescent="0.2">
      <c r="A3" s="139" t="s">
        <v>32</v>
      </c>
      <c r="B3" s="52" t="s">
        <v>17</v>
      </c>
      <c r="C3" s="139" t="s">
        <v>18</v>
      </c>
      <c r="D3" s="166" t="s">
        <v>33</v>
      </c>
      <c r="E3" s="212"/>
      <c r="F3" s="88" t="s">
        <v>34</v>
      </c>
      <c r="G3" s="91" t="s">
        <v>35</v>
      </c>
      <c r="H3" s="88"/>
      <c r="I3" s="167"/>
      <c r="J3" s="88" t="s">
        <v>34</v>
      </c>
      <c r="K3" s="91" t="s">
        <v>35</v>
      </c>
      <c r="L3" s="88"/>
      <c r="M3" s="167"/>
      <c r="N3" s="98" t="s">
        <v>36</v>
      </c>
      <c r="O3" s="133"/>
      <c r="P3" s="256"/>
    </row>
    <row r="4" spans="1:16" s="35" customFormat="1" x14ac:dyDescent="0.2">
      <c r="A4" s="139"/>
      <c r="B4" s="52" t="s">
        <v>23</v>
      </c>
      <c r="C4" s="139" t="s">
        <v>24</v>
      </c>
      <c r="D4" s="166" t="s">
        <v>37</v>
      </c>
      <c r="E4" s="212"/>
      <c r="F4" s="88" t="s">
        <v>38</v>
      </c>
      <c r="G4" s="91" t="s">
        <v>39</v>
      </c>
      <c r="H4" s="88" t="s">
        <v>40</v>
      </c>
      <c r="I4" s="167"/>
      <c r="J4" s="88" t="s">
        <v>38</v>
      </c>
      <c r="K4" s="91" t="s">
        <v>39</v>
      </c>
      <c r="L4" s="88" t="s">
        <v>40</v>
      </c>
      <c r="M4" s="167"/>
      <c r="N4" s="98" t="s">
        <v>15</v>
      </c>
      <c r="O4" s="133"/>
      <c r="P4" s="256"/>
    </row>
    <row r="5" spans="1:16" s="35" customFormat="1" ht="13.5" thickBot="1" x14ac:dyDescent="0.25">
      <c r="A5" s="168"/>
      <c r="B5" s="169"/>
      <c r="C5" s="168"/>
      <c r="D5" s="170"/>
      <c r="E5" s="213"/>
      <c r="F5" s="171"/>
      <c r="G5" s="172"/>
      <c r="H5" s="171"/>
      <c r="I5" s="171"/>
      <c r="J5" s="171"/>
      <c r="K5" s="172"/>
      <c r="L5" s="171"/>
      <c r="M5" s="171"/>
      <c r="N5" s="173"/>
      <c r="O5" s="137"/>
      <c r="P5" s="243"/>
    </row>
    <row r="6" spans="1:16" outlineLevel="1" x14ac:dyDescent="0.2">
      <c r="A6" t="s">
        <v>27</v>
      </c>
      <c r="B6" s="54" t="s">
        <v>76</v>
      </c>
      <c r="C6" s="160"/>
      <c r="D6" s="128">
        <v>45930</v>
      </c>
      <c r="E6" s="214"/>
      <c r="F6" s="127">
        <v>1447886.45</v>
      </c>
      <c r="G6" s="185">
        <f>+H6/F6</f>
        <v>1</v>
      </c>
      <c r="H6" s="127">
        <f t="shared" ref="H6:H12" si="0">SUM(F6)</f>
        <v>1447886.45</v>
      </c>
      <c r="I6" s="162" t="s">
        <v>42</v>
      </c>
      <c r="J6" s="127">
        <v>1512541.77</v>
      </c>
      <c r="K6" s="185">
        <f>+L6/J6</f>
        <v>1</v>
      </c>
      <c r="L6" s="127">
        <f t="shared" ref="L6:L12" si="1">SUM(J6)</f>
        <v>1512541.77</v>
      </c>
      <c r="M6" s="163"/>
      <c r="N6" s="176"/>
      <c r="O6" s="177"/>
      <c r="P6" s="178"/>
    </row>
    <row r="7" spans="1:16" outlineLevel="1" x14ac:dyDescent="0.2">
      <c r="B7" s="217" t="s">
        <v>41</v>
      </c>
      <c r="C7" s="218"/>
      <c r="D7" s="219">
        <v>45930</v>
      </c>
      <c r="E7" s="214"/>
      <c r="F7" s="222">
        <v>800</v>
      </c>
      <c r="G7" s="221">
        <f t="shared" ref="G7:G11" si="2">+H7/F7</f>
        <v>1</v>
      </c>
      <c r="H7" s="222">
        <f t="shared" si="0"/>
        <v>800</v>
      </c>
      <c r="I7" s="162"/>
      <c r="J7" s="222">
        <v>800</v>
      </c>
      <c r="K7" s="221">
        <f t="shared" ref="K7:K40" si="3">+L7/J7</f>
        <v>1</v>
      </c>
      <c r="L7" s="222">
        <f t="shared" si="1"/>
        <v>800</v>
      </c>
      <c r="M7" s="163"/>
      <c r="N7" s="176"/>
      <c r="O7" s="177"/>
      <c r="P7" s="178"/>
    </row>
    <row r="8" spans="1:16" outlineLevel="1" x14ac:dyDescent="0.2">
      <c r="B8" s="54" t="s">
        <v>72</v>
      </c>
      <c r="C8" s="160"/>
      <c r="D8" s="128">
        <v>45930</v>
      </c>
      <c r="E8" s="214"/>
      <c r="F8" s="127">
        <v>13000000</v>
      </c>
      <c r="G8" s="185">
        <f t="shared" si="2"/>
        <v>1</v>
      </c>
      <c r="H8" s="127">
        <f t="shared" si="0"/>
        <v>13000000</v>
      </c>
      <c r="I8" s="162" t="s">
        <v>42</v>
      </c>
      <c r="J8" s="127">
        <v>4000000</v>
      </c>
      <c r="K8" s="185">
        <f t="shared" si="3"/>
        <v>1</v>
      </c>
      <c r="L8" s="127">
        <f t="shared" si="1"/>
        <v>4000000</v>
      </c>
      <c r="M8" s="163"/>
      <c r="N8" s="176"/>
      <c r="O8" s="177"/>
      <c r="P8" s="178"/>
    </row>
    <row r="9" spans="1:16" outlineLevel="1" x14ac:dyDescent="0.2">
      <c r="B9" s="217" t="s">
        <v>103</v>
      </c>
      <c r="C9" s="218"/>
      <c r="D9" s="219">
        <v>45930</v>
      </c>
      <c r="E9" s="214"/>
      <c r="F9" s="222">
        <v>16182.09</v>
      </c>
      <c r="G9" s="221">
        <f t="shared" si="2"/>
        <v>1</v>
      </c>
      <c r="H9" s="222">
        <f t="shared" si="0"/>
        <v>16182.09</v>
      </c>
      <c r="I9" s="162" t="s">
        <v>42</v>
      </c>
      <c r="J9" s="222">
        <v>9853.66</v>
      </c>
      <c r="K9" s="221">
        <f t="shared" si="3"/>
        <v>1</v>
      </c>
      <c r="L9" s="222">
        <f t="shared" si="1"/>
        <v>9853.66</v>
      </c>
      <c r="M9" s="163"/>
      <c r="N9" s="176"/>
      <c r="O9" s="177"/>
      <c r="P9" s="178"/>
    </row>
    <row r="10" spans="1:16" outlineLevel="1" x14ac:dyDescent="0.2">
      <c r="B10" s="54" t="s">
        <v>141</v>
      </c>
      <c r="C10" s="160"/>
      <c r="D10" s="128">
        <v>45930</v>
      </c>
      <c r="E10" s="214"/>
      <c r="F10" s="127">
        <v>24549.599999999999</v>
      </c>
      <c r="G10" s="185">
        <f t="shared" si="2"/>
        <v>1</v>
      </c>
      <c r="H10" s="127">
        <f t="shared" si="0"/>
        <v>24549.599999999999</v>
      </c>
      <c r="I10" s="162" t="s">
        <v>42</v>
      </c>
      <c r="J10" s="127">
        <v>10739194.23</v>
      </c>
      <c r="K10" s="185">
        <f t="shared" si="3"/>
        <v>1</v>
      </c>
      <c r="L10" s="127">
        <f t="shared" si="1"/>
        <v>10739194.23</v>
      </c>
      <c r="M10" s="163"/>
      <c r="N10" s="176"/>
      <c r="O10" s="177"/>
      <c r="P10" s="178"/>
    </row>
    <row r="11" spans="1:16" outlineLevel="1" x14ac:dyDescent="0.2">
      <c r="B11" s="217" t="s">
        <v>134</v>
      </c>
      <c r="C11" s="218"/>
      <c r="D11" s="219">
        <v>45930</v>
      </c>
      <c r="E11" s="214"/>
      <c r="F11" s="220">
        <v>13085441.189999999</v>
      </c>
      <c r="G11" s="221">
        <f t="shared" si="2"/>
        <v>1</v>
      </c>
      <c r="H11" s="222">
        <f t="shared" si="0"/>
        <v>13085441.189999999</v>
      </c>
      <c r="I11" s="162" t="s">
        <v>42</v>
      </c>
      <c r="J11" s="220">
        <v>5186013.13</v>
      </c>
      <c r="K11" s="221">
        <f t="shared" si="3"/>
        <v>1</v>
      </c>
      <c r="L11" s="222">
        <f t="shared" si="1"/>
        <v>5186013.13</v>
      </c>
      <c r="M11" s="163"/>
      <c r="N11" s="176"/>
      <c r="O11" s="177"/>
      <c r="P11" s="178"/>
    </row>
    <row r="12" spans="1:16" outlineLevel="1" x14ac:dyDescent="0.2">
      <c r="B12" s="54" t="s">
        <v>194</v>
      </c>
      <c r="C12" s="160"/>
      <c r="D12" s="128">
        <v>45930</v>
      </c>
      <c r="E12" s="214"/>
      <c r="F12" s="127">
        <v>0</v>
      </c>
      <c r="G12" s="185">
        <v>1</v>
      </c>
      <c r="H12" s="127">
        <f t="shared" si="0"/>
        <v>0</v>
      </c>
      <c r="I12" s="162" t="s">
        <v>42</v>
      </c>
      <c r="J12" s="127">
        <v>6049531.2999999998</v>
      </c>
      <c r="K12" s="185">
        <f t="shared" si="3"/>
        <v>1</v>
      </c>
      <c r="L12" s="127">
        <f t="shared" si="1"/>
        <v>6049531.2999999998</v>
      </c>
      <c r="M12" s="163"/>
      <c r="N12" s="176"/>
      <c r="O12" s="177"/>
      <c r="P12" s="178"/>
    </row>
    <row r="13" spans="1:16" outlineLevel="1" x14ac:dyDescent="0.2">
      <c r="B13" s="217" t="s">
        <v>91</v>
      </c>
      <c r="C13" s="218"/>
      <c r="D13" s="219">
        <v>45930</v>
      </c>
      <c r="E13" s="214"/>
      <c r="F13" s="220">
        <v>0</v>
      </c>
      <c r="G13" s="221">
        <v>0</v>
      </c>
      <c r="H13" s="222">
        <f>SUM(F13)</f>
        <v>0</v>
      </c>
      <c r="I13" s="162" t="s">
        <v>0</v>
      </c>
      <c r="J13" s="220">
        <v>0</v>
      </c>
      <c r="K13" s="221">
        <v>0</v>
      </c>
      <c r="L13" s="222">
        <v>0</v>
      </c>
      <c r="M13" s="163"/>
      <c r="N13" s="176"/>
      <c r="O13" s="177"/>
      <c r="P13" s="178"/>
    </row>
    <row r="14" spans="1:16" outlineLevel="1" x14ac:dyDescent="0.2">
      <c r="B14" s="54" t="s">
        <v>133</v>
      </c>
      <c r="C14" s="160" t="s">
        <v>131</v>
      </c>
      <c r="D14" s="128">
        <v>46073</v>
      </c>
      <c r="E14" s="214"/>
      <c r="F14" s="130">
        <v>244000</v>
      </c>
      <c r="G14" s="185">
        <f t="shared" ref="G14:G20" si="4">+H14/F14</f>
        <v>1.0028299999999999</v>
      </c>
      <c r="H14" s="130">
        <v>244690.52</v>
      </c>
      <c r="I14" s="167" t="s">
        <v>0</v>
      </c>
      <c r="J14" s="130">
        <v>244000</v>
      </c>
      <c r="K14" s="185">
        <f t="shared" ref="K14:K15" si="5">+L14/J14</f>
        <v>1.0021</v>
      </c>
      <c r="L14" s="130">
        <v>244512.4</v>
      </c>
      <c r="M14" s="163"/>
      <c r="N14" s="176"/>
      <c r="O14" s="177"/>
      <c r="P14" s="178"/>
    </row>
    <row r="15" spans="1:16" outlineLevel="1" x14ac:dyDescent="0.2">
      <c r="A15" s="159" t="s">
        <v>0</v>
      </c>
      <c r="B15" s="179" t="s">
        <v>166</v>
      </c>
      <c r="C15" s="180" t="s">
        <v>157</v>
      </c>
      <c r="D15" s="181">
        <v>46248</v>
      </c>
      <c r="E15" s="211"/>
      <c r="F15" s="182">
        <v>244000</v>
      </c>
      <c r="G15" s="183">
        <f t="shared" si="4"/>
        <v>1</v>
      </c>
      <c r="H15" s="182">
        <v>244000</v>
      </c>
      <c r="I15" s="167" t="s">
        <v>0</v>
      </c>
      <c r="J15" s="182">
        <v>244000</v>
      </c>
      <c r="K15" s="241">
        <f t="shared" si="5"/>
        <v>1</v>
      </c>
      <c r="L15" s="182">
        <v>244000</v>
      </c>
      <c r="M15" s="163"/>
      <c r="N15" s="176"/>
      <c r="O15" s="177"/>
      <c r="P15" s="178"/>
    </row>
    <row r="16" spans="1:16" outlineLevel="1" x14ac:dyDescent="0.2">
      <c r="B16" s="352" t="s">
        <v>158</v>
      </c>
      <c r="C16" s="353" t="s">
        <v>159</v>
      </c>
      <c r="D16" s="354">
        <v>46395</v>
      </c>
      <c r="E16" s="214"/>
      <c r="F16" s="3">
        <v>1000000</v>
      </c>
      <c r="G16" s="175">
        <f>+H16/F16</f>
        <v>1</v>
      </c>
      <c r="H16" s="3">
        <v>1000000</v>
      </c>
      <c r="I16" s="167" t="s">
        <v>0</v>
      </c>
      <c r="J16" s="3">
        <v>1000000</v>
      </c>
      <c r="K16" s="355">
        <f>+L16/J16</f>
        <v>1</v>
      </c>
      <c r="L16" s="3">
        <v>1000000</v>
      </c>
      <c r="M16" s="163"/>
      <c r="N16" s="176"/>
      <c r="O16" s="177"/>
      <c r="P16" s="178"/>
    </row>
    <row r="17" spans="2:16" outlineLevel="1" x14ac:dyDescent="0.2">
      <c r="B17" s="179" t="s">
        <v>160</v>
      </c>
      <c r="C17" s="180" t="s">
        <v>161</v>
      </c>
      <c r="D17" s="181">
        <v>46430</v>
      </c>
      <c r="E17" s="214"/>
      <c r="F17" s="182">
        <v>244000</v>
      </c>
      <c r="G17" s="183">
        <f>+H17/F17</f>
        <v>1</v>
      </c>
      <c r="H17" s="182">
        <v>244000</v>
      </c>
      <c r="I17" s="167" t="s">
        <v>0</v>
      </c>
      <c r="J17" s="182">
        <v>244000</v>
      </c>
      <c r="K17" s="356">
        <f>+L17/J17</f>
        <v>1</v>
      </c>
      <c r="L17" s="182">
        <v>244000</v>
      </c>
      <c r="M17" s="163"/>
      <c r="N17" s="176"/>
      <c r="O17" s="177"/>
      <c r="P17" s="178"/>
    </row>
    <row r="18" spans="2:16" outlineLevel="1" x14ac:dyDescent="0.2">
      <c r="B18" s="352" t="s">
        <v>167</v>
      </c>
      <c r="C18" s="353" t="s">
        <v>163</v>
      </c>
      <c r="D18" s="354">
        <v>46433</v>
      </c>
      <c r="E18" s="214"/>
      <c r="F18" s="3">
        <v>1050000</v>
      </c>
      <c r="G18" s="175">
        <f>+H18/F18</f>
        <v>0.98972666666666664</v>
      </c>
      <c r="H18" s="3">
        <v>1039213</v>
      </c>
      <c r="I18" s="167" t="s">
        <v>0</v>
      </c>
      <c r="J18" s="3">
        <v>1050000</v>
      </c>
      <c r="K18" s="355">
        <f>+L18/J18</f>
        <v>0.98972666666666664</v>
      </c>
      <c r="L18" s="3">
        <v>1039213</v>
      </c>
      <c r="M18" s="163"/>
      <c r="N18" s="176"/>
      <c r="O18" s="177"/>
      <c r="P18" s="178"/>
    </row>
    <row r="19" spans="2:16" outlineLevel="1" x14ac:dyDescent="0.2">
      <c r="B19" s="179" t="s">
        <v>164</v>
      </c>
      <c r="C19" s="180" t="s">
        <v>165</v>
      </c>
      <c r="D19" s="181">
        <v>46457</v>
      </c>
      <c r="E19" s="214"/>
      <c r="F19" s="182">
        <v>244000</v>
      </c>
      <c r="G19" s="183">
        <f>+H19/F19</f>
        <v>1</v>
      </c>
      <c r="H19" s="182">
        <v>244000</v>
      </c>
      <c r="I19" s="167" t="s">
        <v>0</v>
      </c>
      <c r="J19" s="182">
        <v>244000</v>
      </c>
      <c r="K19" s="241">
        <f>+L19/J19</f>
        <v>1</v>
      </c>
      <c r="L19" s="182">
        <v>244000</v>
      </c>
      <c r="M19" s="163"/>
      <c r="N19" s="176"/>
      <c r="O19" s="177"/>
      <c r="P19" s="178"/>
    </row>
    <row r="20" spans="2:16" outlineLevel="1" x14ac:dyDescent="0.2">
      <c r="B20" s="352" t="s">
        <v>177</v>
      </c>
      <c r="C20" s="353" t="s">
        <v>171</v>
      </c>
      <c r="D20" s="354">
        <v>46562</v>
      </c>
      <c r="E20" s="214"/>
      <c r="F20" s="3">
        <v>244000</v>
      </c>
      <c r="G20" s="355">
        <f>+H20/F20</f>
        <v>1</v>
      </c>
      <c r="H20" s="3">
        <v>244000</v>
      </c>
      <c r="I20" s="167" t="s">
        <v>0</v>
      </c>
      <c r="J20" s="3">
        <v>244000</v>
      </c>
      <c r="K20" s="355">
        <f>+L20/J20</f>
        <v>1</v>
      </c>
      <c r="L20" s="3">
        <v>244000</v>
      </c>
      <c r="M20" s="163"/>
      <c r="N20" s="176"/>
      <c r="O20" s="177"/>
      <c r="P20" s="178"/>
    </row>
    <row r="21" spans="2:16" outlineLevel="1" x14ac:dyDescent="0.2">
      <c r="B21" s="179" t="s">
        <v>168</v>
      </c>
      <c r="C21" s="180" t="s">
        <v>172</v>
      </c>
      <c r="D21" s="181">
        <v>46566</v>
      </c>
      <c r="E21" s="214"/>
      <c r="F21" s="182">
        <v>245000</v>
      </c>
      <c r="G21" s="183">
        <f>+H21/F21</f>
        <v>1</v>
      </c>
      <c r="H21" s="182">
        <v>245000</v>
      </c>
      <c r="I21" s="167" t="s">
        <v>0</v>
      </c>
      <c r="J21" s="182">
        <v>245000</v>
      </c>
      <c r="K21" s="241">
        <f>+L21/J21</f>
        <v>1</v>
      </c>
      <c r="L21" s="182">
        <v>245000</v>
      </c>
      <c r="M21" s="163"/>
      <c r="N21" s="176"/>
      <c r="O21" s="177"/>
      <c r="P21" s="178"/>
    </row>
    <row r="22" spans="2:16" outlineLevel="1" x14ac:dyDescent="0.2">
      <c r="B22" s="352" t="s">
        <v>169</v>
      </c>
      <c r="C22" s="353" t="s">
        <v>178</v>
      </c>
      <c r="D22" s="354">
        <v>46568</v>
      </c>
      <c r="E22" s="214"/>
      <c r="F22" s="3">
        <v>249000</v>
      </c>
      <c r="G22" s="355">
        <f>+H22/F22</f>
        <v>1</v>
      </c>
      <c r="H22" s="3">
        <v>249000</v>
      </c>
      <c r="I22" s="167" t="s">
        <v>0</v>
      </c>
      <c r="J22" s="3">
        <v>249000</v>
      </c>
      <c r="K22" s="355">
        <f>+L22/J22</f>
        <v>1</v>
      </c>
      <c r="L22" s="3">
        <v>249000</v>
      </c>
      <c r="M22" s="163"/>
      <c r="N22" s="176"/>
      <c r="O22" s="177"/>
      <c r="P22" s="178"/>
    </row>
    <row r="23" spans="2:16" outlineLevel="1" x14ac:dyDescent="0.2">
      <c r="B23" s="179" t="s">
        <v>188</v>
      </c>
      <c r="C23" s="180" t="s">
        <v>189</v>
      </c>
      <c r="D23" s="181">
        <v>46570</v>
      </c>
      <c r="E23" s="214"/>
      <c r="F23" s="182">
        <v>0</v>
      </c>
      <c r="G23" s="183">
        <v>1</v>
      </c>
      <c r="H23" s="182">
        <v>0</v>
      </c>
      <c r="I23" s="162"/>
      <c r="J23" s="182">
        <v>249000</v>
      </c>
      <c r="K23" s="241">
        <f>+L23/J23</f>
        <v>1</v>
      </c>
      <c r="L23" s="182">
        <v>249000</v>
      </c>
      <c r="M23" s="163"/>
      <c r="N23" s="176"/>
      <c r="O23" s="177"/>
      <c r="P23" s="178"/>
    </row>
    <row r="24" spans="2:16" outlineLevel="1" x14ac:dyDescent="0.2">
      <c r="B24" s="54" t="s">
        <v>183</v>
      </c>
      <c r="C24" s="353" t="s">
        <v>184</v>
      </c>
      <c r="D24" s="354">
        <v>46633</v>
      </c>
      <c r="E24" s="214"/>
      <c r="F24" s="3">
        <v>0</v>
      </c>
      <c r="G24" s="184">
        <v>1</v>
      </c>
      <c r="H24" s="3">
        <v>0</v>
      </c>
      <c r="I24" s="162"/>
      <c r="J24" s="3">
        <v>1000000</v>
      </c>
      <c r="K24" s="355">
        <f>+L24/J24</f>
        <v>1</v>
      </c>
      <c r="L24" s="3">
        <v>1000000</v>
      </c>
      <c r="M24" s="163"/>
      <c r="N24" s="176"/>
      <c r="O24" s="177"/>
      <c r="P24" s="178"/>
    </row>
    <row r="25" spans="2:16" outlineLevel="1" x14ac:dyDescent="0.2">
      <c r="B25" s="179" t="s">
        <v>190</v>
      </c>
      <c r="C25" s="180" t="s">
        <v>191</v>
      </c>
      <c r="D25" s="181">
        <v>46983</v>
      </c>
      <c r="E25" s="214"/>
      <c r="F25" s="182">
        <v>0</v>
      </c>
      <c r="G25" s="183">
        <v>1</v>
      </c>
      <c r="H25" s="182">
        <v>0</v>
      </c>
      <c r="I25" s="162"/>
      <c r="J25" s="182">
        <v>1000000</v>
      </c>
      <c r="K25" s="241">
        <f>+L25/J25</f>
        <v>1</v>
      </c>
      <c r="L25" s="182">
        <v>1000000</v>
      </c>
      <c r="M25" s="163"/>
      <c r="N25" s="176"/>
      <c r="O25" s="177"/>
      <c r="P25" s="178"/>
    </row>
    <row r="26" spans="2:16" outlineLevel="1" x14ac:dyDescent="0.2">
      <c r="B26" s="54" t="s">
        <v>183</v>
      </c>
      <c r="C26" s="353" t="s">
        <v>192</v>
      </c>
      <c r="D26" s="354">
        <v>46986</v>
      </c>
      <c r="E26" s="214"/>
      <c r="F26" s="3">
        <v>0</v>
      </c>
      <c r="G26" s="184">
        <v>1</v>
      </c>
      <c r="H26" s="3">
        <v>0</v>
      </c>
      <c r="I26" s="162"/>
      <c r="J26" s="3">
        <v>1130000</v>
      </c>
      <c r="K26" s="355">
        <f>+L26/J26</f>
        <v>1</v>
      </c>
      <c r="L26" s="3">
        <v>1130000</v>
      </c>
      <c r="M26" s="163"/>
      <c r="N26" s="176"/>
      <c r="O26" s="177"/>
      <c r="P26" s="178"/>
    </row>
    <row r="27" spans="2:16" outlineLevel="1" x14ac:dyDescent="0.2">
      <c r="B27" s="199" t="s">
        <v>115</v>
      </c>
      <c r="C27" s="223" t="s">
        <v>116</v>
      </c>
      <c r="D27" s="208">
        <v>45852</v>
      </c>
      <c r="E27" s="214"/>
      <c r="F27" s="210">
        <v>243000</v>
      </c>
      <c r="G27" s="226">
        <f>+H27/F27</f>
        <v>1.0001</v>
      </c>
      <c r="H27" s="210">
        <v>243024.3</v>
      </c>
      <c r="I27" s="162" t="s">
        <v>42</v>
      </c>
      <c r="J27" s="210">
        <v>0</v>
      </c>
      <c r="K27" s="226">
        <v>0</v>
      </c>
      <c r="L27" s="210">
        <v>0</v>
      </c>
      <c r="M27" s="163"/>
      <c r="N27" s="176"/>
      <c r="O27" s="177"/>
      <c r="P27" s="178"/>
    </row>
    <row r="28" spans="2:16" outlineLevel="1" x14ac:dyDescent="0.2">
      <c r="B28" s="199" t="s">
        <v>89</v>
      </c>
      <c r="C28" s="223" t="s">
        <v>111</v>
      </c>
      <c r="D28" s="208">
        <v>45884</v>
      </c>
      <c r="E28" s="214"/>
      <c r="F28" s="198">
        <v>998000</v>
      </c>
      <c r="G28" s="226">
        <f>+H28/F28</f>
        <v>0.99830000000000008</v>
      </c>
      <c r="H28" s="198">
        <v>996303.4</v>
      </c>
      <c r="I28" s="162" t="s">
        <v>42</v>
      </c>
      <c r="J28" s="198">
        <v>0</v>
      </c>
      <c r="K28" s="226">
        <v>0</v>
      </c>
      <c r="L28" s="198">
        <v>0</v>
      </c>
      <c r="M28" s="163"/>
      <c r="N28" s="176"/>
      <c r="O28" s="177"/>
      <c r="P28" s="178"/>
    </row>
    <row r="29" spans="2:16" outlineLevel="1" x14ac:dyDescent="0.2">
      <c r="B29" s="199" t="s">
        <v>132</v>
      </c>
      <c r="C29" s="223" t="s">
        <v>128</v>
      </c>
      <c r="D29" s="208">
        <v>45890</v>
      </c>
      <c r="E29" s="214"/>
      <c r="F29" s="198">
        <v>244000</v>
      </c>
      <c r="G29" s="226">
        <f>+H29/F29</f>
        <v>1.00048</v>
      </c>
      <c r="H29" s="198">
        <v>244117.12</v>
      </c>
      <c r="I29" s="162" t="s">
        <v>42</v>
      </c>
      <c r="J29" s="198">
        <v>0</v>
      </c>
      <c r="K29" s="226">
        <v>0</v>
      </c>
      <c r="L29" s="198">
        <v>0</v>
      </c>
      <c r="M29" s="163"/>
      <c r="N29" s="176"/>
      <c r="O29" s="177"/>
      <c r="P29" s="178"/>
    </row>
    <row r="30" spans="2:16" outlineLevel="1" x14ac:dyDescent="0.2">
      <c r="B30" s="199" t="s">
        <v>117</v>
      </c>
      <c r="C30" s="223" t="s">
        <v>112</v>
      </c>
      <c r="D30" s="208">
        <v>45894</v>
      </c>
      <c r="E30" s="214"/>
      <c r="F30" s="198">
        <v>243000</v>
      </c>
      <c r="G30" s="226">
        <f>+H30/F30</f>
        <v>1.0009699999999999</v>
      </c>
      <c r="H30" s="198">
        <v>243235.71</v>
      </c>
      <c r="I30" s="162" t="s">
        <v>42</v>
      </c>
      <c r="J30" s="198">
        <v>0</v>
      </c>
      <c r="K30" s="226">
        <v>0</v>
      </c>
      <c r="L30" s="198">
        <v>0</v>
      </c>
      <c r="M30" s="163"/>
      <c r="N30" s="176"/>
      <c r="O30" s="177"/>
      <c r="P30" s="178"/>
    </row>
    <row r="31" spans="2:16" outlineLevel="1" x14ac:dyDescent="0.2">
      <c r="B31" s="199" t="s">
        <v>113</v>
      </c>
      <c r="C31" s="223" t="s">
        <v>114</v>
      </c>
      <c r="D31" s="208">
        <v>45894</v>
      </c>
      <c r="E31" s="214"/>
      <c r="F31" s="198">
        <v>243000</v>
      </c>
      <c r="G31" s="226">
        <f>+H31/F31</f>
        <v>1.00075</v>
      </c>
      <c r="H31" s="198">
        <v>243182.25</v>
      </c>
      <c r="I31" s="162" t="s">
        <v>42</v>
      </c>
      <c r="J31" s="198">
        <v>0</v>
      </c>
      <c r="K31" s="226">
        <v>0</v>
      </c>
      <c r="L31" s="198">
        <v>0</v>
      </c>
      <c r="M31" s="163"/>
      <c r="N31" s="176"/>
      <c r="O31" s="177"/>
      <c r="P31" s="178"/>
    </row>
    <row r="32" spans="2:16" outlineLevel="1" x14ac:dyDescent="0.2">
      <c r="B32" s="199" t="s">
        <v>145</v>
      </c>
      <c r="C32" s="223" t="s">
        <v>154</v>
      </c>
      <c r="D32" s="208">
        <v>46261</v>
      </c>
      <c r="E32" s="214"/>
      <c r="F32" s="210">
        <v>2000000</v>
      </c>
      <c r="G32" s="226">
        <f>+H32/F32</f>
        <v>1</v>
      </c>
      <c r="H32" s="210">
        <v>2000000</v>
      </c>
      <c r="I32" s="162" t="s">
        <v>42</v>
      </c>
      <c r="J32" s="210">
        <v>0</v>
      </c>
      <c r="K32" s="226">
        <v>0</v>
      </c>
      <c r="L32" s="210">
        <v>0</v>
      </c>
      <c r="M32" s="163"/>
      <c r="N32" s="176"/>
      <c r="O32" s="177"/>
      <c r="P32" s="178"/>
    </row>
    <row r="33" spans="1:16" outlineLevel="1" x14ac:dyDescent="0.2">
      <c r="B33" s="199" t="s">
        <v>158</v>
      </c>
      <c r="C33" s="223" t="s">
        <v>170</v>
      </c>
      <c r="D33" s="208">
        <v>46514</v>
      </c>
      <c r="E33" s="214"/>
      <c r="F33" s="210">
        <v>1000000</v>
      </c>
      <c r="G33" s="226">
        <f>+H33/F33</f>
        <v>1</v>
      </c>
      <c r="H33" s="210">
        <v>1000000</v>
      </c>
      <c r="I33" s="162" t="s">
        <v>42</v>
      </c>
      <c r="J33" s="210">
        <v>0</v>
      </c>
      <c r="K33" s="226">
        <v>0</v>
      </c>
      <c r="L33" s="210">
        <v>0</v>
      </c>
      <c r="M33" s="163"/>
      <c r="N33" s="176"/>
      <c r="O33" s="177"/>
      <c r="P33" s="178"/>
    </row>
    <row r="34" spans="1:16" outlineLevel="1" x14ac:dyDescent="0.2">
      <c r="B34" s="199" t="s">
        <v>107</v>
      </c>
      <c r="C34" s="223"/>
      <c r="D34" s="208">
        <v>45916</v>
      </c>
      <c r="E34" s="214"/>
      <c r="F34" s="210">
        <v>10356673.970000001</v>
      </c>
      <c r="G34" s="226">
        <v>1</v>
      </c>
      <c r="H34" s="210">
        <f t="shared" ref="H34" si="6">SUM(F34)</f>
        <v>10356673.970000001</v>
      </c>
      <c r="I34" s="162" t="s">
        <v>42</v>
      </c>
      <c r="J34" s="210" t="s">
        <v>0</v>
      </c>
      <c r="K34" s="226">
        <v>0</v>
      </c>
      <c r="L34" s="210">
        <v>0</v>
      </c>
      <c r="M34" s="163"/>
      <c r="N34" s="176"/>
      <c r="O34" s="177"/>
      <c r="P34" s="178"/>
    </row>
    <row r="35" spans="1:16" x14ac:dyDescent="0.2">
      <c r="A35" s="20" t="s">
        <v>58</v>
      </c>
      <c r="D35" s="25"/>
      <c r="E35" s="214"/>
      <c r="F35" s="187">
        <f>SUM(F6:F34)</f>
        <v>46666533.299999997</v>
      </c>
      <c r="G35" s="188">
        <f t="shared" ref="G35" si="7">+H35/F35</f>
        <v>0.99975927716919133</v>
      </c>
      <c r="H35" s="187">
        <f>SUM(H6:H34)</f>
        <v>46655299.599999994</v>
      </c>
      <c r="I35" s="162" t="s">
        <v>42</v>
      </c>
      <c r="J35" s="187">
        <f>SUM(J6:J34)</f>
        <v>34640934.090000004</v>
      </c>
      <c r="K35" s="242">
        <f>+L35/J35</f>
        <v>0.99970339714358414</v>
      </c>
      <c r="L35" s="187">
        <f>SUM(L6:L34)</f>
        <v>34630659.489999995</v>
      </c>
      <c r="M35" s="189"/>
      <c r="N35" s="176">
        <f>SUM(L35-H35)</f>
        <v>-12024640.109999999</v>
      </c>
      <c r="O35" s="177"/>
      <c r="P35" s="178">
        <v>-11656666.210000001</v>
      </c>
    </row>
    <row r="36" spans="1:16" x14ac:dyDescent="0.2">
      <c r="A36" s="20"/>
      <c r="D36" s="25"/>
      <c r="E36" s="214"/>
      <c r="F36" s="50"/>
      <c r="G36" s="175"/>
      <c r="H36" s="50"/>
      <c r="I36" s="167"/>
      <c r="J36" s="50"/>
      <c r="K36" s="175"/>
      <c r="L36" s="50"/>
      <c r="M36" s="189"/>
      <c r="N36" s="176"/>
      <c r="O36" s="177"/>
      <c r="P36" s="178"/>
    </row>
    <row r="37" spans="1:16" x14ac:dyDescent="0.2">
      <c r="A37" s="20"/>
      <c r="D37" s="25"/>
      <c r="E37" s="214"/>
      <c r="F37" s="50"/>
      <c r="G37" s="175"/>
      <c r="H37" s="50"/>
      <c r="I37" s="167"/>
      <c r="J37" s="50"/>
      <c r="K37" s="175"/>
      <c r="L37" s="50"/>
      <c r="M37" s="189"/>
      <c r="N37" s="176"/>
      <c r="O37" s="177"/>
      <c r="P37" s="178"/>
    </row>
    <row r="38" spans="1:16" x14ac:dyDescent="0.2">
      <c r="A38" s="20" t="s">
        <v>86</v>
      </c>
      <c r="B38" t="s">
        <v>76</v>
      </c>
      <c r="D38" s="25">
        <v>45930</v>
      </c>
      <c r="E38" s="214"/>
      <c r="F38" s="3">
        <v>77887.23</v>
      </c>
      <c r="G38" s="184">
        <f t="shared" ref="G38:G40" si="8">+H38/F38</f>
        <v>1</v>
      </c>
      <c r="H38" s="3">
        <f>SUM(F38)</f>
        <v>77887.23</v>
      </c>
      <c r="I38" s="167" t="s">
        <v>42</v>
      </c>
      <c r="J38" s="3">
        <v>354307.35</v>
      </c>
      <c r="K38" s="184">
        <f t="shared" si="3"/>
        <v>1</v>
      </c>
      <c r="L38" s="3">
        <f>SUM(J38)</f>
        <v>354307.35</v>
      </c>
      <c r="M38" s="189"/>
      <c r="N38" s="176"/>
      <c r="O38" s="177"/>
      <c r="P38" s="178"/>
    </row>
    <row r="39" spans="1:16" x14ac:dyDescent="0.2">
      <c r="A39" s="20"/>
      <c r="B39" s="179" t="s">
        <v>150</v>
      </c>
      <c r="C39" s="180"/>
      <c r="D39" s="181">
        <v>45930</v>
      </c>
      <c r="E39" s="214"/>
      <c r="F39" s="182">
        <v>8320204.8399999999</v>
      </c>
      <c r="G39" s="357">
        <f t="shared" si="8"/>
        <v>1</v>
      </c>
      <c r="H39" s="182">
        <f>SUM(F39)</f>
        <v>8320204.8399999999</v>
      </c>
      <c r="I39" s="167" t="s">
        <v>42</v>
      </c>
      <c r="J39" s="182">
        <v>5387380.7999999998</v>
      </c>
      <c r="K39" s="183">
        <f t="shared" si="3"/>
        <v>1</v>
      </c>
      <c r="L39" s="182">
        <f>SUM(J39)</f>
        <v>5387380.7999999998</v>
      </c>
      <c r="M39" s="189"/>
      <c r="N39" s="176"/>
      <c r="O39" s="177"/>
      <c r="P39" s="178"/>
    </row>
    <row r="40" spans="1:16" x14ac:dyDescent="0.2">
      <c r="A40" s="20"/>
      <c r="D40" s="25"/>
      <c r="E40" s="214"/>
      <c r="F40" s="187">
        <f>SUM(F38:F39)</f>
        <v>8398092.0700000003</v>
      </c>
      <c r="G40" s="188">
        <f t="shared" si="8"/>
        <v>1</v>
      </c>
      <c r="H40" s="187">
        <f>SUM(H38:H39)</f>
        <v>8398092.0700000003</v>
      </c>
      <c r="I40" s="167"/>
      <c r="J40" s="187">
        <f>SUM(J38:J39)</f>
        <v>5741688.1499999994</v>
      </c>
      <c r="K40" s="188">
        <f t="shared" si="3"/>
        <v>1</v>
      </c>
      <c r="L40" s="187">
        <f>SUM(L38:L39)</f>
        <v>5741688.1499999994</v>
      </c>
      <c r="M40" s="189"/>
      <c r="N40" s="176">
        <f>+SUM(L40-H40)</f>
        <v>-2656403.9200000009</v>
      </c>
      <c r="O40" s="177"/>
      <c r="P40" s="178">
        <v>-571656.31999999995</v>
      </c>
    </row>
    <row r="41" spans="1:16" x14ac:dyDescent="0.2">
      <c r="A41" s="20"/>
      <c r="D41" s="25"/>
      <c r="E41" s="214"/>
      <c r="F41" s="50"/>
      <c r="G41" s="184"/>
      <c r="H41" s="50"/>
      <c r="I41" s="167"/>
      <c r="J41" s="50"/>
      <c r="K41" s="184"/>
      <c r="L41" s="50"/>
      <c r="M41" s="189"/>
      <c r="N41" s="176"/>
      <c r="O41" s="177"/>
      <c r="P41" s="178"/>
    </row>
    <row r="42" spans="1:16" x14ac:dyDescent="0.2">
      <c r="A42" s="20" t="s">
        <v>59</v>
      </c>
      <c r="B42" t="s">
        <v>76</v>
      </c>
      <c r="D42" s="25">
        <v>45930</v>
      </c>
      <c r="E42" s="214"/>
      <c r="F42" s="3">
        <v>5369.51</v>
      </c>
      <c r="G42" s="184">
        <f>+H42/F42</f>
        <v>1</v>
      </c>
      <c r="H42" s="3">
        <f>SUM(F42)</f>
        <v>5369.51</v>
      </c>
      <c r="I42" s="167" t="s">
        <v>42</v>
      </c>
      <c r="J42" s="3">
        <v>5405.72</v>
      </c>
      <c r="K42" s="184">
        <f>+L42/J42</f>
        <v>1</v>
      </c>
      <c r="L42" s="3">
        <f>SUM(J42)</f>
        <v>5405.72</v>
      </c>
      <c r="M42" s="163"/>
      <c r="N42" s="135"/>
      <c r="O42" s="177"/>
      <c r="P42" s="178"/>
    </row>
    <row r="43" spans="1:16" x14ac:dyDescent="0.2">
      <c r="A43" s="20"/>
      <c r="D43" s="25"/>
      <c r="E43" s="214"/>
      <c r="F43" s="187">
        <f>SUM(F42)</f>
        <v>5369.51</v>
      </c>
      <c r="G43" s="188">
        <f>+H43/F43</f>
        <v>1</v>
      </c>
      <c r="H43" s="187">
        <f>SUM(H42)</f>
        <v>5369.51</v>
      </c>
      <c r="I43" s="162" t="s">
        <v>42</v>
      </c>
      <c r="J43" s="187">
        <f>SUM(J42)</f>
        <v>5405.72</v>
      </c>
      <c r="K43" s="188">
        <f>+L43/J43</f>
        <v>1</v>
      </c>
      <c r="L43" s="187">
        <f>SUM(L42)</f>
        <v>5405.72</v>
      </c>
      <c r="M43" s="189"/>
      <c r="N43" s="135">
        <f>SUM(L43-H43)</f>
        <v>36.210000000000036</v>
      </c>
      <c r="O43" s="177"/>
      <c r="P43" s="178">
        <v>44.83</v>
      </c>
    </row>
    <row r="44" spans="1:16" x14ac:dyDescent="0.2">
      <c r="A44" s="20"/>
      <c r="D44" s="25"/>
      <c r="E44" s="214"/>
      <c r="F44" s="50"/>
      <c r="G44" s="184"/>
      <c r="H44" s="50"/>
      <c r="I44" s="167"/>
      <c r="J44" s="50"/>
      <c r="K44" s="184"/>
      <c r="L44" s="50"/>
      <c r="M44" s="189"/>
      <c r="N44" s="135"/>
      <c r="O44" s="177"/>
      <c r="P44" s="178"/>
    </row>
    <row r="45" spans="1:16" x14ac:dyDescent="0.2">
      <c r="A45" s="20" t="s">
        <v>179</v>
      </c>
      <c r="B45" t="s">
        <v>76</v>
      </c>
      <c r="D45" s="25">
        <v>45930</v>
      </c>
      <c r="E45" s="214"/>
      <c r="F45" s="240">
        <v>11640964.699999999</v>
      </c>
      <c r="G45" s="184">
        <f>+H45/F45</f>
        <v>1</v>
      </c>
      <c r="H45" s="3">
        <f>SUM(F45)</f>
        <v>11640964.699999999</v>
      </c>
      <c r="I45" s="162" t="s">
        <v>42</v>
      </c>
      <c r="J45" s="240">
        <v>6920841.7300000004</v>
      </c>
      <c r="K45" s="184">
        <f>+L45/J45</f>
        <v>1</v>
      </c>
      <c r="L45" s="3">
        <f>SUM(J45)</f>
        <v>6920841.7300000004</v>
      </c>
      <c r="M45" s="189"/>
      <c r="N45" s="135"/>
      <c r="O45" s="177"/>
      <c r="P45" s="178"/>
    </row>
    <row r="46" spans="1:16" x14ac:dyDescent="0.2">
      <c r="A46" s="20" t="s">
        <v>176</v>
      </c>
      <c r="B46" s="179" t="s">
        <v>193</v>
      </c>
      <c r="C46" s="180"/>
      <c r="D46" s="181">
        <v>45930</v>
      </c>
      <c r="E46" s="214"/>
      <c r="F46" s="358">
        <v>0</v>
      </c>
      <c r="G46" s="183">
        <v>1</v>
      </c>
      <c r="H46" s="182">
        <f>SUM(F46)</f>
        <v>0</v>
      </c>
      <c r="I46" s="162" t="s">
        <v>42</v>
      </c>
      <c r="J46" s="358">
        <v>3014303.41</v>
      </c>
      <c r="K46" s="183">
        <f>+L46/J46</f>
        <v>1</v>
      </c>
      <c r="L46" s="182">
        <f>SUM(J46)</f>
        <v>3014303.41</v>
      </c>
      <c r="M46" s="189"/>
      <c r="N46" s="135"/>
      <c r="O46" s="177"/>
      <c r="P46" s="178"/>
    </row>
    <row r="47" spans="1:16" x14ac:dyDescent="0.2">
      <c r="A47" s="20" t="s">
        <v>0</v>
      </c>
      <c r="D47" s="25"/>
      <c r="E47" s="214"/>
      <c r="F47" s="187">
        <f>SUM(F45:F46)</f>
        <v>11640964.699999999</v>
      </c>
      <c r="G47" s="188">
        <f>+H47/F47</f>
        <v>1</v>
      </c>
      <c r="H47" s="187">
        <f>SUM(H45:H46)</f>
        <v>11640964.699999999</v>
      </c>
      <c r="I47" s="162" t="s">
        <v>42</v>
      </c>
      <c r="J47" s="187">
        <f>SUM(J45:J46)</f>
        <v>9935145.1400000006</v>
      </c>
      <c r="K47" s="188">
        <f>+L47/J47</f>
        <v>1</v>
      </c>
      <c r="L47" s="187">
        <f>SUM(L45:L46)</f>
        <v>9935145.1400000006</v>
      </c>
      <c r="M47" s="189"/>
      <c r="N47" s="135">
        <f>SUM(L47-H47)</f>
        <v>-1705819.5599999987</v>
      </c>
      <c r="O47" s="177"/>
      <c r="P47" s="178">
        <v>0</v>
      </c>
    </row>
    <row r="48" spans="1:16" x14ac:dyDescent="0.2">
      <c r="A48" s="20"/>
      <c r="D48" s="25"/>
      <c r="E48" s="214"/>
      <c r="F48" s="50"/>
      <c r="G48" s="184"/>
      <c r="H48" s="50"/>
      <c r="I48" s="167"/>
      <c r="J48" s="50"/>
      <c r="K48" s="184"/>
      <c r="L48" s="50"/>
      <c r="M48" s="189"/>
      <c r="N48" s="135"/>
      <c r="O48" s="177"/>
      <c r="P48" s="178"/>
    </row>
    <row r="49" spans="1:16" x14ac:dyDescent="0.2">
      <c r="A49" s="20"/>
      <c r="D49" s="25"/>
      <c r="E49" s="214"/>
      <c r="F49" s="50"/>
      <c r="G49" s="184"/>
      <c r="H49" s="50"/>
      <c r="I49" s="167"/>
      <c r="J49" s="50"/>
      <c r="K49" s="184"/>
      <c r="L49" s="50"/>
      <c r="M49" s="189"/>
      <c r="N49" s="135"/>
      <c r="O49" s="177"/>
      <c r="P49" s="178"/>
    </row>
    <row r="50" spans="1:16" x14ac:dyDescent="0.2">
      <c r="A50" s="20" t="s">
        <v>6</v>
      </c>
      <c r="B50" t="s">
        <v>76</v>
      </c>
      <c r="D50" s="25">
        <v>45930</v>
      </c>
      <c r="E50" s="214"/>
      <c r="F50" s="10">
        <v>6342.07</v>
      </c>
      <c r="G50" s="184">
        <f t="shared" ref="G50:G51" si="9">+H50/F50</f>
        <v>1</v>
      </c>
      <c r="H50" s="3">
        <f>SUM(F50)</f>
        <v>6342.07</v>
      </c>
      <c r="I50" s="162" t="s">
        <v>42</v>
      </c>
      <c r="J50" s="10">
        <v>6384.84</v>
      </c>
      <c r="K50" s="184">
        <f t="shared" ref="K50:K51" si="10">+L50/J50</f>
        <v>1</v>
      </c>
      <c r="L50" s="3">
        <f>SUM(J50)</f>
        <v>6384.84</v>
      </c>
      <c r="M50" s="163"/>
      <c r="N50" s="135"/>
      <c r="O50" s="177"/>
      <c r="P50" s="178"/>
    </row>
    <row r="51" spans="1:16" x14ac:dyDescent="0.2">
      <c r="A51" s="20"/>
      <c r="D51" s="25"/>
      <c r="E51" s="214"/>
      <c r="F51" s="187">
        <f>SUM(F50)</f>
        <v>6342.07</v>
      </c>
      <c r="G51" s="188">
        <f t="shared" si="9"/>
        <v>1</v>
      </c>
      <c r="H51" s="187">
        <f>SUM(H50)</f>
        <v>6342.07</v>
      </c>
      <c r="I51" s="162" t="s">
        <v>42</v>
      </c>
      <c r="J51" s="187">
        <f>SUM(J50)</f>
        <v>6384.84</v>
      </c>
      <c r="K51" s="188">
        <f t="shared" si="10"/>
        <v>1</v>
      </c>
      <c r="L51" s="187">
        <f>SUM(L50)</f>
        <v>6384.84</v>
      </c>
      <c r="M51" s="189"/>
      <c r="N51" s="135">
        <f>SUM(L51-H51)</f>
        <v>42.770000000000437</v>
      </c>
      <c r="O51" s="177"/>
      <c r="P51" s="178">
        <v>52.96</v>
      </c>
    </row>
    <row r="52" spans="1:16" x14ac:dyDescent="0.2">
      <c r="A52" s="20"/>
      <c r="D52" s="25"/>
      <c r="E52" s="214"/>
      <c r="F52" s="50"/>
      <c r="G52" s="184"/>
      <c r="H52" s="50"/>
      <c r="I52" s="167"/>
      <c r="J52" s="50"/>
      <c r="K52" s="184"/>
      <c r="L52" s="50"/>
      <c r="M52" s="189"/>
      <c r="N52" s="135"/>
      <c r="O52" s="177"/>
      <c r="P52" s="178"/>
    </row>
    <row r="53" spans="1:16" x14ac:dyDescent="0.2">
      <c r="A53" s="20"/>
      <c r="D53" s="25"/>
      <c r="E53" s="214"/>
      <c r="F53" s="50"/>
      <c r="G53" s="184"/>
      <c r="H53" s="50"/>
      <c r="I53" s="167"/>
      <c r="J53" s="50"/>
      <c r="K53" s="184"/>
      <c r="L53" s="50"/>
      <c r="M53" s="189"/>
      <c r="N53" s="135"/>
      <c r="O53" s="177"/>
      <c r="P53" s="178"/>
    </row>
    <row r="54" spans="1:16" x14ac:dyDescent="0.2">
      <c r="A54" s="20"/>
      <c r="D54" s="25"/>
      <c r="E54" s="214"/>
      <c r="F54" s="50"/>
      <c r="G54" s="184"/>
      <c r="H54" s="50"/>
      <c r="I54" s="167"/>
      <c r="J54" s="50"/>
      <c r="K54" s="184"/>
      <c r="L54" s="50"/>
      <c r="M54" s="189"/>
      <c r="N54" s="135"/>
      <c r="O54" s="177"/>
      <c r="P54" s="178"/>
    </row>
    <row r="55" spans="1:16" x14ac:dyDescent="0.2">
      <c r="A55" s="20" t="s">
        <v>80</v>
      </c>
      <c r="B55" t="s">
        <v>76</v>
      </c>
      <c r="D55" s="25">
        <v>45930</v>
      </c>
      <c r="E55" s="214"/>
      <c r="F55" s="3">
        <v>2073032.18</v>
      </c>
      <c r="G55" s="184">
        <f>+H55/F55</f>
        <v>1</v>
      </c>
      <c r="H55" s="3">
        <f>SUM(F55)</f>
        <v>2073032.18</v>
      </c>
      <c r="I55" s="167" t="s">
        <v>42</v>
      </c>
      <c r="J55" s="3">
        <v>1761886.85</v>
      </c>
      <c r="K55" s="184">
        <f>+L55/J55</f>
        <v>1</v>
      </c>
      <c r="L55" s="3">
        <f>SUM(J55)</f>
        <v>1761886.85</v>
      </c>
      <c r="M55" s="189"/>
      <c r="N55" s="135"/>
      <c r="O55" s="177"/>
      <c r="P55" s="178"/>
    </row>
    <row r="56" spans="1:16" x14ac:dyDescent="0.2">
      <c r="A56" s="20"/>
      <c r="D56" s="25"/>
      <c r="E56" s="214"/>
      <c r="F56" s="187">
        <f>SUM(F55:F55)</f>
        <v>2073032.18</v>
      </c>
      <c r="G56" s="188">
        <f>+H56/F56</f>
        <v>1</v>
      </c>
      <c r="H56" s="187">
        <f>SUM(H55:H55)</f>
        <v>2073032.18</v>
      </c>
      <c r="I56" s="162" t="s">
        <v>42</v>
      </c>
      <c r="J56" s="187">
        <f>SUM(J55:J55)</f>
        <v>1761886.85</v>
      </c>
      <c r="K56" s="188">
        <f>+L56/J56</f>
        <v>1</v>
      </c>
      <c r="L56" s="187">
        <f>SUM(L55:L55)</f>
        <v>1761886.85</v>
      </c>
      <c r="M56" s="189"/>
      <c r="N56" s="135">
        <f>SUM(L56-H56)</f>
        <v>-311145.32999999984</v>
      </c>
      <c r="O56" s="177"/>
      <c r="P56" s="178">
        <v>-1620370.27</v>
      </c>
    </row>
    <row r="57" spans="1:16" x14ac:dyDescent="0.2">
      <c r="A57" s="20"/>
      <c r="D57" s="25"/>
      <c r="E57" s="214"/>
      <c r="F57" s="50"/>
      <c r="G57" s="184"/>
      <c r="H57" s="50"/>
      <c r="I57" s="167"/>
      <c r="J57" s="50"/>
      <c r="K57" s="184"/>
      <c r="L57" s="50"/>
      <c r="M57" s="189"/>
      <c r="N57" s="135"/>
      <c r="O57" s="177"/>
      <c r="P57" s="178"/>
    </row>
    <row r="58" spans="1:16" x14ac:dyDescent="0.2">
      <c r="A58" s="20" t="s">
        <v>10</v>
      </c>
      <c r="B58" t="s">
        <v>76</v>
      </c>
      <c r="D58" s="25">
        <v>45930</v>
      </c>
      <c r="E58" s="214"/>
      <c r="F58" s="3">
        <v>80502.880000000005</v>
      </c>
      <c r="G58" s="190">
        <f>H58/F58</f>
        <v>1</v>
      </c>
      <c r="H58" s="3">
        <f>SUM(F58)</f>
        <v>80502.880000000005</v>
      </c>
      <c r="I58" s="162" t="s">
        <v>42</v>
      </c>
      <c r="J58" s="3">
        <v>81109.98</v>
      </c>
      <c r="K58" s="190">
        <f>L58/J58</f>
        <v>1</v>
      </c>
      <c r="L58" s="3">
        <f>SUM(J58)</f>
        <v>81109.98</v>
      </c>
      <c r="M58" s="163"/>
      <c r="N58" s="135"/>
      <c r="O58" s="177"/>
      <c r="P58" s="178"/>
    </row>
    <row r="59" spans="1:16" x14ac:dyDescent="0.2">
      <c r="A59" s="20"/>
      <c r="D59" s="25"/>
      <c r="E59" s="211"/>
      <c r="F59" s="187">
        <f>SUM(F58)</f>
        <v>80502.880000000005</v>
      </c>
      <c r="G59" s="191">
        <f>H59/F59</f>
        <v>1</v>
      </c>
      <c r="H59" s="187">
        <f>SUM(H58)</f>
        <v>80502.880000000005</v>
      </c>
      <c r="I59" s="162" t="s">
        <v>42</v>
      </c>
      <c r="J59" s="187">
        <f>SUM(J58)</f>
        <v>81109.98</v>
      </c>
      <c r="K59" s="191">
        <f>L59/J59</f>
        <v>1</v>
      </c>
      <c r="L59" s="187">
        <f>SUM(L58)</f>
        <v>81109.98</v>
      </c>
      <c r="M59" s="189"/>
      <c r="N59" s="135">
        <f>SUM(L59-H59)</f>
        <v>607.09999999999127</v>
      </c>
      <c r="O59" s="177"/>
      <c r="P59" s="178">
        <v>1576.23</v>
      </c>
    </row>
    <row r="60" spans="1:16" x14ac:dyDescent="0.2">
      <c r="A60" s="20"/>
      <c r="E60" s="211"/>
      <c r="G60" s="190"/>
      <c r="I60" s="162"/>
      <c r="K60" s="190"/>
      <c r="M60" s="163"/>
      <c r="N60" s="135"/>
      <c r="O60" s="177"/>
      <c r="P60" s="178"/>
    </row>
    <row r="61" spans="1:16" x14ac:dyDescent="0.2">
      <c r="A61" s="20"/>
      <c r="E61" s="211"/>
      <c r="G61" s="190"/>
      <c r="I61" s="162"/>
      <c r="K61" s="190"/>
      <c r="M61" s="163"/>
      <c r="N61" s="135"/>
      <c r="O61" s="177"/>
      <c r="P61" s="178"/>
    </row>
    <row r="62" spans="1:16" x14ac:dyDescent="0.2">
      <c r="A62" s="20" t="s">
        <v>29</v>
      </c>
      <c r="B62" t="s">
        <v>76</v>
      </c>
      <c r="D62" s="25">
        <v>45930</v>
      </c>
      <c r="E62" s="214"/>
      <c r="F62" s="3">
        <v>806954.93</v>
      </c>
      <c r="G62" s="190">
        <f>H62/F62</f>
        <v>1</v>
      </c>
      <c r="H62" s="3">
        <f>SUM(F62)</f>
        <v>806954.93</v>
      </c>
      <c r="I62" s="162" t="s">
        <v>42</v>
      </c>
      <c r="J62" s="3">
        <v>213136.03</v>
      </c>
      <c r="K62" s="190">
        <f>L62/J62</f>
        <v>1</v>
      </c>
      <c r="L62" s="3">
        <f>SUM(J62)</f>
        <v>213136.03</v>
      </c>
      <c r="M62" s="163"/>
      <c r="N62" s="135"/>
      <c r="O62" s="177"/>
      <c r="P62" s="178"/>
    </row>
    <row r="63" spans="1:16" x14ac:dyDescent="0.2">
      <c r="A63" s="20"/>
      <c r="B63" t="s">
        <v>0</v>
      </c>
      <c r="E63" s="211"/>
      <c r="F63" s="187">
        <f>SUM(F62)</f>
        <v>806954.93</v>
      </c>
      <c r="G63" s="191">
        <f>H63/F63</f>
        <v>1</v>
      </c>
      <c r="H63" s="187">
        <f>SUM(H62)</f>
        <v>806954.93</v>
      </c>
      <c r="I63" s="162" t="s">
        <v>42</v>
      </c>
      <c r="J63" s="187">
        <f>SUM(J62)</f>
        <v>213136.03</v>
      </c>
      <c r="K63" s="191">
        <f>L63/J63</f>
        <v>1</v>
      </c>
      <c r="L63" s="187">
        <f>SUM(L62)</f>
        <v>213136.03</v>
      </c>
      <c r="M63" s="189"/>
      <c r="N63" s="135">
        <f>SUM(L63-H63)</f>
        <v>-593818.9</v>
      </c>
      <c r="O63" s="177"/>
      <c r="P63" s="178">
        <v>169074.59</v>
      </c>
    </row>
    <row r="64" spans="1:16" x14ac:dyDescent="0.2">
      <c r="A64" s="20"/>
      <c r="D64" s="25"/>
      <c r="E64" s="214"/>
      <c r="F64" s="50"/>
      <c r="G64" s="184"/>
      <c r="H64" s="50"/>
      <c r="I64" s="167"/>
      <c r="J64" s="50"/>
      <c r="K64" s="184"/>
      <c r="L64" s="50"/>
      <c r="M64" s="189"/>
      <c r="N64" s="135"/>
      <c r="O64" s="177"/>
      <c r="P64" s="178"/>
    </row>
    <row r="65" spans="1:16" x14ac:dyDescent="0.2">
      <c r="A65" s="20"/>
      <c r="D65" s="25"/>
      <c r="E65" s="214"/>
      <c r="F65" s="50"/>
      <c r="G65" s="184"/>
      <c r="H65" s="50"/>
      <c r="I65" s="167"/>
      <c r="J65" s="50"/>
      <c r="K65" s="184"/>
      <c r="L65" s="50"/>
      <c r="M65" s="189"/>
      <c r="N65" s="135"/>
      <c r="O65" s="177"/>
      <c r="P65" s="178"/>
    </row>
    <row r="66" spans="1:16" x14ac:dyDescent="0.2">
      <c r="A66" s="20" t="s">
        <v>69</v>
      </c>
      <c r="B66" t="s">
        <v>76</v>
      </c>
      <c r="D66" s="25">
        <v>45930</v>
      </c>
      <c r="E66" s="214"/>
      <c r="F66" s="3">
        <v>1121030.1200000001</v>
      </c>
      <c r="G66" s="190">
        <f>H66/F66</f>
        <v>1</v>
      </c>
      <c r="H66" s="3">
        <f>SUM(F66)</f>
        <v>1121030.1200000001</v>
      </c>
      <c r="I66" s="162" t="s">
        <v>42</v>
      </c>
      <c r="J66" s="3">
        <v>126865.72</v>
      </c>
      <c r="K66" s="190">
        <f>L66/J66</f>
        <v>1</v>
      </c>
      <c r="L66" s="3">
        <f>SUM(J66)</f>
        <v>126865.72</v>
      </c>
      <c r="M66" s="163"/>
      <c r="N66" s="135"/>
      <c r="O66" s="177"/>
      <c r="P66" s="178"/>
    </row>
    <row r="67" spans="1:16" x14ac:dyDescent="0.2">
      <c r="A67" s="20"/>
      <c r="B67" s="179" t="s">
        <v>194</v>
      </c>
      <c r="C67" s="180"/>
      <c r="D67" s="181">
        <v>45930</v>
      </c>
      <c r="E67" s="214"/>
      <c r="F67" s="182">
        <v>0</v>
      </c>
      <c r="G67" s="192">
        <v>1</v>
      </c>
      <c r="H67" s="182">
        <v>0</v>
      </c>
      <c r="I67" s="162" t="s">
        <v>42</v>
      </c>
      <c r="J67" s="182">
        <v>1006604.17</v>
      </c>
      <c r="K67" s="192">
        <f>L67/J67</f>
        <v>1</v>
      </c>
      <c r="L67" s="182">
        <f>SUM(J67)</f>
        <v>1006604.17</v>
      </c>
      <c r="M67" s="163"/>
      <c r="N67" s="135"/>
      <c r="O67" s="177"/>
      <c r="P67" s="178"/>
    </row>
    <row r="68" spans="1:16" x14ac:dyDescent="0.2">
      <c r="A68" s="20"/>
      <c r="E68" s="211"/>
      <c r="F68" s="187">
        <f>SUM(F66:F67)</f>
        <v>1121030.1200000001</v>
      </c>
      <c r="G68" s="191">
        <f>H68/F68</f>
        <v>1</v>
      </c>
      <c r="H68" s="187">
        <f>SUM(H66:H67)</f>
        <v>1121030.1200000001</v>
      </c>
      <c r="I68" s="162" t="s">
        <v>42</v>
      </c>
      <c r="J68" s="187">
        <f>SUM(J66:J67)</f>
        <v>1133469.8900000001</v>
      </c>
      <c r="K68" s="191">
        <f>L68/J68</f>
        <v>1</v>
      </c>
      <c r="L68" s="187">
        <f>SUM(L66:L67)</f>
        <v>1133469.8900000001</v>
      </c>
      <c r="M68" s="189"/>
      <c r="N68" s="135">
        <f>SUM(L68-H68)</f>
        <v>12439.770000000019</v>
      </c>
      <c r="O68" s="177"/>
      <c r="P68" s="178">
        <v>9475.24</v>
      </c>
    </row>
    <row r="69" spans="1:16" x14ac:dyDescent="0.2">
      <c r="A69" s="20"/>
      <c r="E69" s="211"/>
      <c r="F69" s="50"/>
      <c r="G69" s="190"/>
      <c r="H69" s="50"/>
      <c r="I69" s="167"/>
      <c r="J69" s="50"/>
      <c r="K69" s="190"/>
      <c r="L69" s="50"/>
      <c r="M69" s="189"/>
      <c r="N69" s="135"/>
      <c r="O69" s="177"/>
      <c r="P69" s="178"/>
    </row>
    <row r="70" spans="1:16" x14ac:dyDescent="0.2">
      <c r="A70" s="20" t="s">
        <v>43</v>
      </c>
      <c r="B70" s="26" t="s">
        <v>76</v>
      </c>
      <c r="D70" s="25">
        <v>45930</v>
      </c>
      <c r="E70" s="214"/>
      <c r="F70" s="3">
        <v>487589.23</v>
      </c>
      <c r="G70" s="190">
        <f t="shared" ref="G70:G72" si="11">H70/F70</f>
        <v>1</v>
      </c>
      <c r="H70" s="3">
        <f>SUM(F70)</f>
        <v>487589.23</v>
      </c>
      <c r="I70" s="162" t="s">
        <v>42</v>
      </c>
      <c r="J70" s="3">
        <v>601428.30000000005</v>
      </c>
      <c r="K70" s="190">
        <f t="shared" ref="K70:K74" si="12">L70/J70</f>
        <v>1</v>
      </c>
      <c r="L70" s="3">
        <f>SUM(J70)</f>
        <v>601428.30000000005</v>
      </c>
      <c r="M70" s="163"/>
      <c r="N70" s="135"/>
      <c r="O70" s="177"/>
      <c r="P70" s="178"/>
    </row>
    <row r="71" spans="1:16" x14ac:dyDescent="0.2">
      <c r="A71" s="20"/>
      <c r="B71" s="179" t="s">
        <v>82</v>
      </c>
      <c r="C71" s="180"/>
      <c r="D71" s="181">
        <v>45930</v>
      </c>
      <c r="E71" s="214"/>
      <c r="F71" s="182">
        <v>4971.1899999999996</v>
      </c>
      <c r="G71" s="192">
        <f t="shared" si="11"/>
        <v>1</v>
      </c>
      <c r="H71" s="182">
        <f>SUM(F71)</f>
        <v>4971.1899999999996</v>
      </c>
      <c r="I71" s="162" t="s">
        <v>42</v>
      </c>
      <c r="J71" s="182">
        <v>1075780.68</v>
      </c>
      <c r="K71" s="192">
        <f t="shared" si="12"/>
        <v>1</v>
      </c>
      <c r="L71" s="182">
        <f>SUM(J71)</f>
        <v>1075780.68</v>
      </c>
      <c r="M71" s="163"/>
      <c r="N71" s="135"/>
      <c r="O71" s="177"/>
      <c r="P71" s="178"/>
    </row>
    <row r="72" spans="1:16" x14ac:dyDescent="0.2">
      <c r="A72" s="20"/>
      <c r="B72" t="s">
        <v>134</v>
      </c>
      <c r="D72" s="25">
        <v>45930</v>
      </c>
      <c r="E72" s="214"/>
      <c r="F72" s="3">
        <v>2515605.9900000002</v>
      </c>
      <c r="G72" s="190">
        <f t="shared" si="11"/>
        <v>1</v>
      </c>
      <c r="H72" s="3">
        <f>SUM(F72)</f>
        <v>2515605.9900000002</v>
      </c>
      <c r="I72" s="162" t="s">
        <v>42</v>
      </c>
      <c r="J72" s="3">
        <v>2538474.69</v>
      </c>
      <c r="K72" s="190">
        <f t="shared" si="12"/>
        <v>1</v>
      </c>
      <c r="L72" s="3">
        <f>SUM(J72)</f>
        <v>2538474.69</v>
      </c>
      <c r="M72" s="163"/>
      <c r="N72" s="135"/>
      <c r="O72" s="177"/>
      <c r="P72" s="178"/>
    </row>
    <row r="73" spans="1:16" x14ac:dyDescent="0.2">
      <c r="A73" s="20"/>
      <c r="B73" s="227" t="s">
        <v>104</v>
      </c>
      <c r="C73" s="228"/>
      <c r="D73" s="229">
        <v>45916</v>
      </c>
      <c r="E73" s="214"/>
      <c r="F73" s="232">
        <v>1035667.4</v>
      </c>
      <c r="G73" s="231">
        <f t="shared" ref="G73" si="13">H73/F73</f>
        <v>1</v>
      </c>
      <c r="H73" s="232">
        <v>1035667.4</v>
      </c>
      <c r="I73" s="162" t="s">
        <v>42</v>
      </c>
      <c r="J73" s="232">
        <v>0</v>
      </c>
      <c r="K73" s="231">
        <v>0</v>
      </c>
      <c r="L73" s="232">
        <v>0</v>
      </c>
      <c r="M73" s="163"/>
      <c r="N73" s="135"/>
      <c r="O73" s="177"/>
      <c r="P73" s="178"/>
    </row>
    <row r="74" spans="1:16" x14ac:dyDescent="0.2">
      <c r="A74" s="20"/>
      <c r="D74" s="25"/>
      <c r="E74" s="214"/>
      <c r="F74" s="187">
        <f>SUM(F70:F73)</f>
        <v>4043833.81</v>
      </c>
      <c r="G74" s="191">
        <f t="shared" ref="G74" si="14">H74/F74</f>
        <v>1</v>
      </c>
      <c r="H74" s="187">
        <f>SUM(H70:H73)</f>
        <v>4043833.81</v>
      </c>
      <c r="I74" s="162" t="s">
        <v>42</v>
      </c>
      <c r="J74" s="187">
        <f>SUM(J70:J73)</f>
        <v>4215683.67</v>
      </c>
      <c r="K74" s="191">
        <f t="shared" si="12"/>
        <v>1</v>
      </c>
      <c r="L74" s="187">
        <f>SUM(L70:L73)</f>
        <v>4215683.67</v>
      </c>
      <c r="M74" s="189"/>
      <c r="N74" s="135">
        <f>SUM(L74-H74)</f>
        <v>171849.85999999987</v>
      </c>
      <c r="O74" s="177"/>
      <c r="P74" s="178">
        <v>115711.93</v>
      </c>
    </row>
    <row r="75" spans="1:16" x14ac:dyDescent="0.2">
      <c r="A75" s="20"/>
      <c r="D75" s="25"/>
      <c r="E75" s="214"/>
      <c r="F75" s="50"/>
      <c r="G75" s="184"/>
      <c r="H75" s="50"/>
      <c r="I75" s="167"/>
      <c r="J75" s="50"/>
      <c r="K75" s="184"/>
      <c r="L75" s="50"/>
      <c r="M75" s="189"/>
      <c r="N75" s="135"/>
      <c r="O75" s="177"/>
      <c r="P75" s="178"/>
    </row>
    <row r="76" spans="1:16" x14ac:dyDescent="0.2">
      <c r="A76" s="20" t="s">
        <v>148</v>
      </c>
      <c r="B76" t="s">
        <v>76</v>
      </c>
      <c r="D76" s="25">
        <v>45930</v>
      </c>
      <c r="E76" s="211"/>
      <c r="F76" s="3">
        <v>1975506.93</v>
      </c>
      <c r="G76" s="190">
        <f>H76/F76</f>
        <v>1</v>
      </c>
      <c r="H76" s="3">
        <f>SUM(F76)</f>
        <v>1975506.93</v>
      </c>
      <c r="I76" s="162" t="s">
        <v>42</v>
      </c>
      <c r="J76" s="3">
        <v>617029.98</v>
      </c>
      <c r="K76" s="190">
        <f>L76/J76</f>
        <v>1</v>
      </c>
      <c r="L76" s="3">
        <f>SUM(J76)</f>
        <v>617029.98</v>
      </c>
      <c r="M76" s="163"/>
      <c r="N76" s="135"/>
      <c r="O76" s="177"/>
      <c r="P76" s="178"/>
    </row>
    <row r="77" spans="1:16" x14ac:dyDescent="0.2">
      <c r="A77" s="20"/>
      <c r="B77" s="179" t="s">
        <v>194</v>
      </c>
      <c r="C77" s="180"/>
      <c r="D77" s="181">
        <v>45930</v>
      </c>
      <c r="E77" s="211"/>
      <c r="F77" s="182">
        <v>0</v>
      </c>
      <c r="G77" s="192">
        <v>1</v>
      </c>
      <c r="H77" s="182">
        <v>0</v>
      </c>
      <c r="I77" s="162" t="s">
        <v>42</v>
      </c>
      <c r="J77" s="182">
        <v>1500000</v>
      </c>
      <c r="K77" s="192">
        <f>L77/J77</f>
        <v>1</v>
      </c>
      <c r="L77" s="182">
        <v>1500000</v>
      </c>
      <c r="M77" s="163"/>
      <c r="N77" s="135"/>
      <c r="O77" s="177"/>
      <c r="P77" s="178"/>
    </row>
    <row r="78" spans="1:16" x14ac:dyDescent="0.2">
      <c r="A78" s="20"/>
      <c r="E78" s="211"/>
      <c r="F78" s="187">
        <f>SUM(F76:F77)</f>
        <v>1975506.93</v>
      </c>
      <c r="G78" s="191">
        <f>H78/F78</f>
        <v>1</v>
      </c>
      <c r="H78" s="187">
        <f>SUM(H76:H77)</f>
        <v>1975506.93</v>
      </c>
      <c r="I78" s="162" t="s">
        <v>42</v>
      </c>
      <c r="J78" s="187">
        <f>SUM(J76:J77)</f>
        <v>2117029.98</v>
      </c>
      <c r="K78" s="191">
        <f>L78/J78</f>
        <v>1</v>
      </c>
      <c r="L78" s="187">
        <f>SUM(L76:L77)</f>
        <v>2117029.98</v>
      </c>
      <c r="M78" s="189"/>
      <c r="N78" s="135">
        <f>SUM(L78-H78)</f>
        <v>141523.05000000005</v>
      </c>
      <c r="O78" s="177"/>
      <c r="P78" s="178">
        <v>93653.119999999995</v>
      </c>
    </row>
    <row r="79" spans="1:16" x14ac:dyDescent="0.2">
      <c r="A79" s="20"/>
      <c r="D79" s="25"/>
      <c r="E79" s="214"/>
      <c r="F79" s="50"/>
      <c r="G79" s="184"/>
      <c r="H79" s="50"/>
      <c r="I79" s="167"/>
      <c r="J79" s="50"/>
      <c r="K79" s="184"/>
      <c r="L79" s="50"/>
      <c r="M79" s="189"/>
      <c r="N79" s="135"/>
      <c r="O79" s="177"/>
      <c r="P79" s="178"/>
    </row>
    <row r="80" spans="1:16" x14ac:dyDescent="0.2">
      <c r="A80" s="20" t="s">
        <v>44</v>
      </c>
      <c r="B80" t="s">
        <v>76</v>
      </c>
      <c r="D80" s="25">
        <v>45930</v>
      </c>
      <c r="E80" s="215"/>
      <c r="F80" s="10">
        <v>2275140.2200000002</v>
      </c>
      <c r="G80" s="190">
        <f>H80/F80</f>
        <v>1</v>
      </c>
      <c r="H80" s="3">
        <f>SUM(F80)</f>
        <v>2275140.2200000002</v>
      </c>
      <c r="I80" s="162" t="s">
        <v>42</v>
      </c>
      <c r="J80" s="10">
        <v>2109184.52</v>
      </c>
      <c r="K80" s="190">
        <f>L80/J80</f>
        <v>1</v>
      </c>
      <c r="L80" s="3">
        <f>SUM(J80)</f>
        <v>2109184.52</v>
      </c>
      <c r="M80" s="162"/>
      <c r="N80" s="135"/>
      <c r="O80" s="177"/>
      <c r="P80" s="178"/>
    </row>
    <row r="81" spans="1:16" x14ac:dyDescent="0.2">
      <c r="A81" s="20"/>
      <c r="D81" s="25"/>
      <c r="E81" s="215"/>
      <c r="F81" s="193">
        <f>SUM(F80)</f>
        <v>2275140.2200000002</v>
      </c>
      <c r="G81" s="191">
        <f>H81/F81</f>
        <v>1</v>
      </c>
      <c r="H81" s="193">
        <f>SUM(H80)</f>
        <v>2275140.2200000002</v>
      </c>
      <c r="I81" s="162" t="s">
        <v>42</v>
      </c>
      <c r="J81" s="193">
        <f>SUM(J80)</f>
        <v>2109184.52</v>
      </c>
      <c r="K81" s="191">
        <f>L81/J81</f>
        <v>1</v>
      </c>
      <c r="L81" s="193">
        <f>SUM(L80)</f>
        <v>2109184.52</v>
      </c>
      <c r="M81" s="167"/>
      <c r="N81" s="135">
        <f>SUM(L81-H81)</f>
        <v>-165955.70000000019</v>
      </c>
      <c r="O81" s="177"/>
      <c r="P81" s="178">
        <v>203087.92</v>
      </c>
    </row>
    <row r="82" spans="1:16" x14ac:dyDescent="0.2">
      <c r="A82" s="20"/>
      <c r="D82" s="25"/>
      <c r="E82" s="214"/>
      <c r="G82" s="190"/>
      <c r="I82" s="162"/>
      <c r="K82" s="190"/>
      <c r="M82" s="163"/>
      <c r="N82" s="135"/>
      <c r="O82" s="177"/>
      <c r="P82" s="178"/>
    </row>
    <row r="83" spans="1:16" x14ac:dyDescent="0.2">
      <c r="A83" s="20" t="s">
        <v>28</v>
      </c>
      <c r="B83" t="s">
        <v>76</v>
      </c>
      <c r="D83" s="25">
        <v>45930</v>
      </c>
      <c r="E83" s="214"/>
      <c r="F83" s="3">
        <v>118382</v>
      </c>
      <c r="G83" s="190">
        <f>H83/F83</f>
        <v>1</v>
      </c>
      <c r="H83" s="3">
        <f>SUM(F83)</f>
        <v>118382</v>
      </c>
      <c r="I83" s="162" t="s">
        <v>42</v>
      </c>
      <c r="J83" s="3">
        <v>17440.43</v>
      </c>
      <c r="K83" s="190">
        <f>L83/J83</f>
        <v>1</v>
      </c>
      <c r="L83" s="3">
        <f>SUM(J83)</f>
        <v>17440.43</v>
      </c>
      <c r="M83" s="163"/>
      <c r="N83" s="135"/>
      <c r="O83" s="177"/>
      <c r="P83" s="178"/>
    </row>
    <row r="84" spans="1:16" x14ac:dyDescent="0.2">
      <c r="A84" s="20"/>
      <c r="D84" s="25"/>
      <c r="E84" s="211"/>
      <c r="F84" s="187">
        <f>SUM(F83)</f>
        <v>118382</v>
      </c>
      <c r="G84" s="191">
        <f>H84/F84</f>
        <v>1</v>
      </c>
      <c r="H84" s="187">
        <f>SUM(H83)</f>
        <v>118382</v>
      </c>
      <c r="I84" s="162" t="s">
        <v>42</v>
      </c>
      <c r="J84" s="187">
        <f>SUM(J83)</f>
        <v>17440.43</v>
      </c>
      <c r="K84" s="191">
        <f>L84/J84</f>
        <v>1</v>
      </c>
      <c r="L84" s="187">
        <f>SUM(L83)</f>
        <v>17440.43</v>
      </c>
      <c r="M84" s="189"/>
      <c r="N84" s="135">
        <f>SUM(L84-H84)</f>
        <v>-100941.57</v>
      </c>
      <c r="O84" s="177"/>
      <c r="P84" s="178">
        <v>-23705.96</v>
      </c>
    </row>
    <row r="85" spans="1:16" x14ac:dyDescent="0.2">
      <c r="A85" s="20"/>
      <c r="D85" s="25"/>
      <c r="E85" s="214"/>
      <c r="F85" s="50"/>
      <c r="G85" s="190"/>
      <c r="H85" s="50"/>
      <c r="I85" s="167"/>
      <c r="J85" s="50"/>
      <c r="K85" s="190"/>
      <c r="L85" s="50"/>
      <c r="M85" s="189"/>
      <c r="N85" s="135"/>
      <c r="O85" s="177"/>
      <c r="P85" s="178"/>
    </row>
    <row r="86" spans="1:16" x14ac:dyDescent="0.2">
      <c r="A86" s="20" t="s">
        <v>13</v>
      </c>
      <c r="B86" t="s">
        <v>76</v>
      </c>
      <c r="D86" s="25">
        <v>45930</v>
      </c>
      <c r="E86" s="214"/>
      <c r="F86" s="3">
        <v>2978993.35</v>
      </c>
      <c r="G86" s="190">
        <v>1</v>
      </c>
      <c r="H86" s="3">
        <f>SUM(F86)</f>
        <v>2978993.35</v>
      </c>
      <c r="I86" s="162" t="s">
        <v>42</v>
      </c>
      <c r="J86" s="3">
        <v>2069089.46</v>
      </c>
      <c r="K86" s="190">
        <v>1</v>
      </c>
      <c r="L86" s="3">
        <f>SUM(J86)</f>
        <v>2069089.46</v>
      </c>
      <c r="M86" s="163"/>
      <c r="N86" s="135"/>
      <c r="O86" s="177"/>
      <c r="P86" s="178"/>
    </row>
    <row r="87" spans="1:16" x14ac:dyDescent="0.2">
      <c r="A87" s="20"/>
      <c r="D87" s="25"/>
      <c r="E87" s="211"/>
      <c r="F87" s="187">
        <f>SUM(F86)</f>
        <v>2978993.35</v>
      </c>
      <c r="G87" s="191">
        <v>1</v>
      </c>
      <c r="H87" s="187">
        <f>SUM(H86)</f>
        <v>2978993.35</v>
      </c>
      <c r="I87" s="162" t="s">
        <v>42</v>
      </c>
      <c r="J87" s="187">
        <f>SUM(J86)</f>
        <v>2069089.46</v>
      </c>
      <c r="K87" s="191">
        <v>1</v>
      </c>
      <c r="L87" s="187">
        <f>SUM(L86)</f>
        <v>2069089.46</v>
      </c>
      <c r="M87" s="189"/>
      <c r="N87" s="135">
        <f>SUM(L87-H87)</f>
        <v>-909903.89000000013</v>
      </c>
      <c r="O87" s="177"/>
      <c r="P87" s="178">
        <v>-923631.63</v>
      </c>
    </row>
    <row r="88" spans="1:16" x14ac:dyDescent="0.2">
      <c r="A88" s="20"/>
      <c r="D88" s="25"/>
      <c r="E88" s="214"/>
      <c r="F88" s="50"/>
      <c r="G88" s="184"/>
      <c r="H88" s="50"/>
      <c r="I88" s="167"/>
      <c r="J88" s="50"/>
      <c r="K88" s="184"/>
      <c r="L88" s="50"/>
      <c r="M88" s="189"/>
      <c r="N88" s="135"/>
      <c r="O88" s="177"/>
      <c r="P88" s="178"/>
    </row>
    <row r="89" spans="1:16" outlineLevel="1" x14ac:dyDescent="0.2">
      <c r="A89" s="20" t="s">
        <v>7</v>
      </c>
      <c r="B89" t="s">
        <v>76</v>
      </c>
      <c r="D89" s="25">
        <v>45930</v>
      </c>
      <c r="E89" s="214"/>
      <c r="F89" s="65">
        <v>360004.2</v>
      </c>
      <c r="G89" s="190">
        <f>H89/F89</f>
        <v>1</v>
      </c>
      <c r="H89" s="3">
        <f>SUM(F89)</f>
        <v>360004.2</v>
      </c>
      <c r="I89" s="162" t="s">
        <v>42</v>
      </c>
      <c r="J89" s="65">
        <v>296553.61</v>
      </c>
      <c r="K89" s="190">
        <f>L89/J89</f>
        <v>1</v>
      </c>
      <c r="L89" s="3">
        <f>SUM(J89)</f>
        <v>296553.61</v>
      </c>
      <c r="M89" s="194"/>
      <c r="N89" s="135"/>
      <c r="O89" s="177"/>
      <c r="P89" s="178"/>
    </row>
    <row r="90" spans="1:16" outlineLevel="1" x14ac:dyDescent="0.2">
      <c r="A90" s="20"/>
      <c r="B90" s="179" t="s">
        <v>82</v>
      </c>
      <c r="C90" s="180"/>
      <c r="D90" s="181">
        <v>45930</v>
      </c>
      <c r="E90" s="214"/>
      <c r="F90" s="186">
        <v>9504.99</v>
      </c>
      <c r="G90" s="192">
        <f>H90/F90</f>
        <v>1</v>
      </c>
      <c r="H90" s="182">
        <f>SUM(F90)</f>
        <v>9504.99</v>
      </c>
      <c r="I90" s="162" t="s">
        <v>42</v>
      </c>
      <c r="J90" s="186">
        <v>1497.14</v>
      </c>
      <c r="K90" s="192">
        <f>L90/J90</f>
        <v>1</v>
      </c>
      <c r="L90" s="182">
        <f>SUM(J90)</f>
        <v>1497.14</v>
      </c>
      <c r="M90" s="194"/>
      <c r="N90" s="135"/>
      <c r="O90" s="177"/>
      <c r="P90" s="178"/>
    </row>
    <row r="91" spans="1:16" outlineLevel="1" x14ac:dyDescent="0.2">
      <c r="A91" s="20"/>
      <c r="B91" t="s">
        <v>106</v>
      </c>
      <c r="D91" s="25">
        <v>45930</v>
      </c>
      <c r="E91" s="214"/>
      <c r="F91" s="65">
        <v>350536.34</v>
      </c>
      <c r="G91" s="190">
        <f t="shared" ref="G91" si="15">H91/F91</f>
        <v>1</v>
      </c>
      <c r="H91" s="3">
        <f>SUM(F91)</f>
        <v>350536.34</v>
      </c>
      <c r="I91" s="162" t="s">
        <v>42</v>
      </c>
      <c r="J91" s="65">
        <v>1968735.72</v>
      </c>
      <c r="K91" s="190">
        <f t="shared" ref="K91" si="16">L91/J91</f>
        <v>1</v>
      </c>
      <c r="L91" s="3">
        <f>SUM(J91)</f>
        <v>1968735.72</v>
      </c>
      <c r="M91" s="194"/>
      <c r="N91" s="135"/>
      <c r="O91" s="177"/>
      <c r="P91" s="178"/>
    </row>
    <row r="92" spans="1:16" outlineLevel="1" x14ac:dyDescent="0.2">
      <c r="A92" s="20"/>
      <c r="B92" s="227" t="s">
        <v>104</v>
      </c>
      <c r="C92" s="228"/>
      <c r="D92" s="229">
        <v>45916</v>
      </c>
      <c r="E92" s="214"/>
      <c r="F92" s="230">
        <v>1553501.1</v>
      </c>
      <c r="G92" s="231">
        <v>0</v>
      </c>
      <c r="H92" s="232">
        <v>1553501.1</v>
      </c>
      <c r="I92" s="162" t="s">
        <v>42</v>
      </c>
      <c r="J92" s="230">
        <v>0</v>
      </c>
      <c r="K92" s="231">
        <v>0</v>
      </c>
      <c r="L92" s="232">
        <v>0</v>
      </c>
      <c r="M92" s="194"/>
      <c r="N92" s="135"/>
      <c r="O92" s="177"/>
      <c r="P92" s="178"/>
    </row>
    <row r="93" spans="1:16" x14ac:dyDescent="0.2">
      <c r="A93" s="20"/>
      <c r="E93" s="214"/>
      <c r="F93" s="187">
        <f>SUM(F89:F92)</f>
        <v>2273546.63</v>
      </c>
      <c r="G93" s="191">
        <f>H93/F93</f>
        <v>1</v>
      </c>
      <c r="H93" s="187">
        <f>SUM(H89:H92)</f>
        <v>2273546.63</v>
      </c>
      <c r="I93" s="162" t="s">
        <v>42</v>
      </c>
      <c r="J93" s="187">
        <f>SUM(J89:J92)</f>
        <v>2266786.4699999997</v>
      </c>
      <c r="K93" s="191">
        <f>L93/J93</f>
        <v>1</v>
      </c>
      <c r="L93" s="187">
        <f>SUM(L89:L92)</f>
        <v>2266786.4699999997</v>
      </c>
      <c r="M93" s="189"/>
      <c r="N93" s="135">
        <f>SUM(L93-H93)</f>
        <v>-6760.160000000149</v>
      </c>
      <c r="O93" s="177"/>
      <c r="P93" s="178">
        <v>-59679.02</v>
      </c>
    </row>
    <row r="94" spans="1:16" x14ac:dyDescent="0.2">
      <c r="A94" s="20"/>
      <c r="D94" s="25"/>
      <c r="E94" s="214"/>
      <c r="G94" s="190"/>
      <c r="I94" s="162"/>
      <c r="K94" s="190"/>
      <c r="M94" s="163"/>
      <c r="N94" s="135"/>
      <c r="O94" s="177"/>
      <c r="P94" s="178"/>
    </row>
    <row r="95" spans="1:16" x14ac:dyDescent="0.2">
      <c r="A95" s="20" t="s">
        <v>14</v>
      </c>
      <c r="B95" t="s">
        <v>76</v>
      </c>
      <c r="D95" s="25">
        <v>45930</v>
      </c>
      <c r="E95" s="214"/>
      <c r="F95" s="3">
        <v>17508152.23</v>
      </c>
      <c r="G95" s="190">
        <f>H95/F95</f>
        <v>1</v>
      </c>
      <c r="H95" s="3">
        <f>SUM(F95)</f>
        <v>17508152.23</v>
      </c>
      <c r="I95" s="162" t="s">
        <v>42</v>
      </c>
      <c r="J95" s="3">
        <v>38027396.090000004</v>
      </c>
      <c r="K95" s="190">
        <f>L95/J95</f>
        <v>1</v>
      </c>
      <c r="L95" s="3">
        <f>SUM(J95)</f>
        <v>38027396.090000004</v>
      </c>
      <c r="M95" s="163"/>
      <c r="N95" s="135"/>
      <c r="O95" s="177"/>
      <c r="P95" s="178"/>
    </row>
    <row r="96" spans="1:16" x14ac:dyDescent="0.2">
      <c r="D96" s="34"/>
      <c r="E96" s="211"/>
      <c r="F96" s="187">
        <f>SUM(F95)</f>
        <v>17508152.23</v>
      </c>
      <c r="G96" s="191">
        <f>H96/F96</f>
        <v>1</v>
      </c>
      <c r="H96" s="187">
        <f>SUM(H95)</f>
        <v>17508152.23</v>
      </c>
      <c r="I96" s="162" t="s">
        <v>42</v>
      </c>
      <c r="J96" s="187">
        <f>SUM(J95)</f>
        <v>38027396.090000004</v>
      </c>
      <c r="K96" s="191">
        <f>L96/J96</f>
        <v>1</v>
      </c>
      <c r="L96" s="187">
        <f>SUM(L95)</f>
        <v>38027396.090000004</v>
      </c>
      <c r="M96" s="189"/>
      <c r="N96" s="135">
        <f>SUM(L96-H96)</f>
        <v>20519243.860000003</v>
      </c>
      <c r="O96" s="177"/>
      <c r="P96" s="178">
        <v>-3716088.96</v>
      </c>
    </row>
    <row r="97" spans="1:16" x14ac:dyDescent="0.2">
      <c r="A97" t="s">
        <v>85</v>
      </c>
      <c r="D97" s="25"/>
      <c r="E97" s="211"/>
      <c r="G97" s="190"/>
      <c r="I97" s="162"/>
      <c r="K97" s="190"/>
      <c r="M97" s="163"/>
      <c r="N97" s="135"/>
      <c r="O97" s="177"/>
      <c r="P97" s="178"/>
    </row>
    <row r="98" spans="1:16" ht="13.5" thickBot="1" x14ac:dyDescent="0.25">
      <c r="A98" s="37" t="s">
        <v>45</v>
      </c>
      <c r="B98" s="40"/>
      <c r="C98" s="134"/>
      <c r="D98" s="39"/>
      <c r="E98" s="216"/>
      <c r="F98" s="55">
        <f>SUM(F96,F87,F68,F63,F84,F78,F59,F81,F74,F93,F56,F43,F51,F40,F35,F47)</f>
        <v>101972376.92999999</v>
      </c>
      <c r="G98" s="195"/>
      <c r="H98" s="55">
        <f>SUM(H96,H87,H68,H63,H84,H78,H59,H81,H74,H93,H56,H43,H51,H40,H35,H47)</f>
        <v>101961143.23</v>
      </c>
      <c r="I98" s="162" t="s">
        <v>42</v>
      </c>
      <c r="J98" s="55">
        <f>SUM(J96,J87,J68,J63,J84,J78,J59,J81,J74,J93,J56,J43,J51,J40,J35,J47)</f>
        <v>104341771.31000002</v>
      </c>
      <c r="K98" s="195"/>
      <c r="L98" s="55">
        <f>SUM(L96,L87,L68,L63,L84,L78,L59,L81,L74,L93,L56,L43,L51,L40,L35,L47)</f>
        <v>104331496.70999999</v>
      </c>
      <c r="M98" s="56"/>
      <c r="N98" s="136">
        <f t="shared" ref="N98" si="17">SUM(L98-H98)</f>
        <v>2370353.4799999893</v>
      </c>
      <c r="O98" s="177"/>
      <c r="P98" s="196">
        <f>SUM(P6:P97)</f>
        <v>-17979121.550000001</v>
      </c>
    </row>
    <row r="99" spans="1:16" ht="13.5" thickTop="1" x14ac:dyDescent="0.2"/>
  </sheetData>
  <sortState xmlns:xlrd2="http://schemas.microsoft.com/office/spreadsheetml/2017/richdata2" ref="K2">
    <sortCondition sortBy="cellColor" ref="K2"/>
  </sortState>
  <mergeCells count="1">
    <mergeCell ref="P2:P4"/>
  </mergeCells>
  <phoneticPr fontId="5" type="noConversion"/>
  <printOptions gridLines="1"/>
  <pageMargins left="0.5" right="0.5" top="0.3" bottom="0.3" header="0" footer="0.05"/>
  <pageSetup paperSize="5" scale="85" firstPageNumber="5" fitToHeight="0" orientation="landscape" useFirstPageNumber="1" r:id="rId1"/>
  <headerFooter alignWithMargins="0">
    <oddHeader>&amp;CMarket Value Comparison</oddHeader>
    <oddFooter>&amp;C&amp;P</oddFooter>
  </headerFooter>
  <ignoredErrors>
    <ignoredError sqref="I41:K41 I94:K94 I75:K75 I57:K57 I44:K44 I42 K42 I54:K54 I50 K50 K55 I60:K60 K58 I64:K64 I62 K62 I69:K69 I66 K66 I70:I71 K70:K71 K74 I79:K79 I76 K76 I82:K82 I80 K80 I85:K85 I83 K83 I88:K88 I86 K86 I89:I91 K89:K91 K93 G97:K97 I95 K95 J96:K96 G6:G11 G35:G38 I40 K40 I55 G93:G96 G13 G68:G71 G78:G91 G62:G64 K35 G40:G44 K47 G98 K98 G54:G60 G66 K68 G47 G74:G76 K78 G50:G51 J51:K51 J43:K43 J56:K56 J59:K59 J63:K63 J81:K81 J84:K84 J87:K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Gov Code</vt:lpstr>
      <vt:lpstr>Recap Sheet</vt:lpstr>
      <vt:lpstr>Taylor County Security Holdings</vt:lpstr>
      <vt:lpstr>Market Comp</vt:lpstr>
      <vt:lpstr>Cover!Print_Area</vt:lpstr>
      <vt:lpstr>'Gov Code'!Print_Area</vt:lpstr>
      <vt:lpstr>'Market Comp'!Print_Area</vt:lpstr>
      <vt:lpstr>'Recap Sheet'!Print_Area</vt:lpstr>
      <vt:lpstr>'Taylor County Security Holdings'!Print_Area</vt:lpstr>
      <vt:lpstr>'Market Comp'!Print_Titles</vt:lpstr>
      <vt:lpstr>'Taylor County Security Holdings'!Print_Titles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2025-10-28T03:18:46Z</cp:lastPrinted>
  <dcterms:created xsi:type="dcterms:W3CDTF">2010-07-30T14:08:17Z</dcterms:created>
  <dcterms:modified xsi:type="dcterms:W3CDTF">2025-10-28T03:32:16Z</dcterms:modified>
</cp:coreProperties>
</file>